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gif" ContentType="image/gif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126" codeName="{526614CA-9299-8FEA-EDB2-C8A7E91AD4E6}"/>
  <workbookPr codeName="DieseArbeitsmappe" defaultThemeVersion="124226"/>
  <workbookProtection workbookAlgorithmName="SHA-512" workbookHashValue="jz+ywItLJz4IFqVJYjJ6SyS8KKo4AnpFI3fEHqW+S4XTQ6WMN1kf/BagPYpxrv2A+nt2H+3ckT8SlChXqeY0hw==" workbookSpinCount="100000" workbookSaltValue="BU06Ne9g2O7E/9FIXAzIBA==" lockStructure="1"/>
  <bookViews>
    <workbookView xWindow="15" yWindow="0" windowWidth="18435" windowHeight="13695" tabRatio="996" activeTab="0"/>
  </bookViews>
  <sheets>
    <sheet name="Beruf und KV" sheetId="1" r:id="rId1"/>
    <sheet name="Steuerung" sheetId="2" state="hidden" r:id="rId2"/>
    <sheet name="AN HAL" sheetId="3" r:id="rId3"/>
    <sheet name="AN GKV" sheetId="4" r:id="rId4"/>
    <sheet name="S HAL" sheetId="6" r:id="rId5"/>
    <sheet name="S GKV" sheetId="7" r:id="rId6"/>
    <sheet name="S13 HAL" sheetId="8" r:id="rId7"/>
    <sheet name="S13 GKV" sheetId="9" r:id="rId8"/>
    <sheet name="F HAL" sheetId="11" r:id="rId9"/>
    <sheet name="F GKV" sheetId="12" r:id="rId10"/>
    <sheet name="F13 HAL" sheetId="13" r:id="rId11"/>
    <sheet name="F13 GKV" sheetId="14" r:id="rId12"/>
    <sheet name="aA HAL" sheetId="16" state="hidden" r:id="rId13"/>
    <sheet name="aA GKV" sheetId="17" state="hidden" r:id="rId14"/>
    <sheet name="P HAL" sheetId="18" state="hidden" r:id="rId15"/>
    <sheet name="P GKV" sheetId="19" state="hidden" r:id="rId16"/>
    <sheet name="P13 HAL" sheetId="20" state="hidden" r:id="rId17"/>
    <sheet name="P13 GKV" sheetId="21" state="hidden" r:id="rId18"/>
    <sheet name="fM HAL" sheetId="22" state="hidden" r:id="rId19"/>
    <sheet name="fM GKV" sheetId="23" state="hidden" r:id="rId20"/>
    <sheet name="KT-Beiträge-AN" sheetId="5" state="hidden" r:id="rId21"/>
    <sheet name="KT-Beiträge S" sheetId="10" state="hidden" r:id="rId22"/>
    <sheet name="KT-Beiträge M" sheetId="28" state="hidden" r:id="rId23"/>
    <sheet name="KT-Beiträge F" sheetId="15" state="hidden" r:id="rId24"/>
  </sheets>
  <externalReferences>
    <externalReference r:id="rId27"/>
  </externalReferences>
  <definedNames>
    <definedName name="_IDVTrackerExB" hidden="1">0</definedName>
    <definedName name="_IDVTrackerFreigabeDateiIDB" hidden="1">-1</definedName>
    <definedName name="_IDVTrackerFreigabeStatusB" hidden="1">0</definedName>
    <definedName name="_IDVTrackerFreigabeVersionB" hidden="1">-1</definedName>
    <definedName name="_IDVTrackerIDB" hidden="1">144331</definedName>
    <definedName name="_IDVTrackerMajorVersionB" hidden="1">1</definedName>
    <definedName name="_IDVTrackerMinorVersionB" hidden="1">0</definedName>
    <definedName name="_IDVTrackerVersionB" hidden="1">7</definedName>
  </definedNames>
  <calcPr calcId="179017"/>
</workbook>
</file>

<file path=xl/comments1.xml><?xml version="1.0" encoding="utf-8"?>
<comments xmlns="http://schemas.openxmlformats.org/spreadsheetml/2006/main">
  <authors>
    <author>Andreas Falken</author>
  </authors>
  <commentList>
    <comment ref="D25" authorId="0">
      <text>
        <r>
          <rPr>
            <b/>
            <sz val="8"/>
            <rFont val="Tahoma"/>
            <family val="2"/>
          </rPr>
          <t>Die HALLESCHE verzichtet abweichend von den Musterbedingungen auch beim Solo-KT für GKV-Versicherte auf das ordentliche Kündigungsrecht</t>
        </r>
      </text>
    </comment>
  </commentList>
</comments>
</file>

<file path=xl/comments10.xml><?xml version="1.0" encoding="utf-8"?>
<comments xmlns="http://schemas.openxmlformats.org/spreadsheetml/2006/main">
  <authors>
    <author>xi06683</author>
  </authors>
  <commentList>
    <comment ref="B24" authorId="0">
      <text>
        <r>
          <rPr>
            <b/>
            <sz val="8"/>
            <rFont val="Tahoma"/>
            <family val="2"/>
          </rPr>
          <t>Bedarfsberechnung: 
80 % des einkommensteuerrechtlichen Gewinns aus der selbstständigen Tätigkeit (ermittelt nach Betriebsvermögensvergleich oder EinnahmenÜberschuss-Rechnung).
Ein ggf. vereinbartes Krankengeld wird angerechnet. Aufgerundet auf volle 5 €</t>
        </r>
      </text>
    </comment>
    <comment ref="B28" authorId="0">
      <text>
        <r>
          <rPr>
            <b/>
            <sz val="8"/>
            <rFont val="Tahoma"/>
            <family val="2"/>
          </rPr>
          <t>max. 100 € versicherbar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max. 100 € versicherbar </t>
        </r>
        <r>
          <rPr>
            <sz val="8"/>
            <rFont val="Tahoma"/>
            <family val="2"/>
          </rPr>
          <t>(die in FKT.22 nicht in Anspruch genommenen Beträge können auf KT.29 übertragen werden)</t>
        </r>
      </text>
    </comment>
    <comment ref="B30" authorId="0">
      <text>
        <r>
          <rPr>
            <b/>
            <sz val="8"/>
            <rFont val="Tahoma"/>
            <family val="2"/>
          </rPr>
          <t>versicherbares Höchst-tagegeld (über alle Karenzstufen) 400 €</t>
        </r>
      </text>
    </comment>
  </commentList>
</comments>
</file>

<file path=xl/comments11.xml><?xml version="1.0" encoding="utf-8"?>
<comments xmlns="http://schemas.openxmlformats.org/spreadsheetml/2006/main">
  <authors>
    <author>xi06683</author>
  </authors>
  <commentList>
    <comment ref="B17" authorId="0">
      <text>
        <r>
          <rPr>
            <b/>
            <sz val="8"/>
            <rFont val="Tahoma"/>
            <family val="2"/>
          </rPr>
          <t>Bedarfsberechnung: 
80 % des einkommensteuerrechtlichen Gewinns aus der selbstständigen Tätigkeit (ermittelt nach Betriebsvermögensvergleich oder EinnahmenÜberschuss-Rechnung).
aufgerundet auf volle 5 €</t>
        </r>
      </text>
    </comment>
    <comment ref="B22" authorId="0">
      <text>
        <r>
          <rPr>
            <b/>
            <sz val="8"/>
            <rFont val="Tahoma"/>
            <family val="2"/>
          </rPr>
          <t>max. 50 € versicherbar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max. 50 € versicherbar </t>
        </r>
        <r>
          <rPr>
            <sz val="8"/>
            <rFont val="Tahoma"/>
            <family val="2"/>
          </rPr>
          <t>(die in FKT.22 nicht in Anspruch genommenen Beträge können auf KT.29 übertragen werden)</t>
        </r>
      </text>
    </comment>
    <comment ref="B24" authorId="0">
      <text>
        <r>
          <rPr>
            <b/>
            <sz val="8"/>
            <rFont val="Tahoma"/>
            <family val="2"/>
          </rPr>
          <t>versicherbares Höchst-tagegeld (über alle Karenzstufen) 200 €</t>
        </r>
      </text>
    </comment>
  </commentList>
</comments>
</file>

<file path=xl/comments12.xml><?xml version="1.0" encoding="utf-8"?>
<comments xmlns="http://schemas.openxmlformats.org/spreadsheetml/2006/main">
  <authors>
    <author>xi06683</author>
  </authors>
  <commentList>
    <comment ref="B24" authorId="0">
      <text>
        <r>
          <rPr>
            <b/>
            <sz val="8"/>
            <rFont val="Tahoma"/>
            <family val="2"/>
          </rPr>
          <t>Bedarfsberechnung: 
80 % des einkommensteuerrechtlichen Gewinns aus der selbstständigen Tätigkeit (ermittelt nach Betriebsvermögensvergleich oder EinnahmenÜberschuss-Rechnung).
Ein ggf. vereinbartes Krankengeld wird angerechnet. Aufgerundet auf volle 5 €</t>
        </r>
      </text>
    </comment>
    <comment ref="B28" authorId="0">
      <text>
        <r>
          <rPr>
            <b/>
            <sz val="8"/>
            <rFont val="Tahoma"/>
            <family val="2"/>
          </rPr>
          <t>max. 100 € versicherbar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max. 100 € versicherbar </t>
        </r>
        <r>
          <rPr>
            <sz val="8"/>
            <rFont val="Tahoma"/>
            <family val="2"/>
          </rPr>
          <t>(die in FKT.22 nicht in Anspruch genommenen Beträge können auf KT.29 übertragen werden)</t>
        </r>
      </text>
    </comment>
    <comment ref="B30" authorId="0">
      <text>
        <r>
          <rPr>
            <b/>
            <sz val="8"/>
            <rFont val="Tahoma"/>
            <family val="2"/>
          </rPr>
          <t>versicherbares Höchst-tagegeld (über alle Karenzstufen) 200 €</t>
        </r>
      </text>
    </comment>
  </commentList>
</comments>
</file>

<file path=xl/comments13.xml><?xml version="1.0" encoding="utf-8"?>
<comments xmlns="http://schemas.openxmlformats.org/spreadsheetml/2006/main">
  <authors>
    <author>xi06683</author>
  </authors>
  <commentList>
    <comment ref="B32" authorId="0">
      <text>
        <r>
          <rPr>
            <b/>
            <sz val="8"/>
            <rFont val="Tahoma"/>
            <family val="2"/>
          </rPr>
          <t>Das Krankentagegeld sollte 80 % des Bruttoeinkommens abdecken, da nach Wegfall der Lohnfortzahlung der Arbeitgeberzuschuss zu den Sozialversicherungsbeiträgen entfällt und diese komplett selbst gezahlt werden müssen.</t>
        </r>
      </text>
    </comment>
  </commentList>
</comments>
</file>

<file path=xl/comments14.xml><?xml version="1.0" encoding="utf-8"?>
<comments xmlns="http://schemas.openxmlformats.org/spreadsheetml/2006/main">
  <authors>
    <author>xi06683</author>
  </authors>
  <commentList>
    <comment ref="B32" authorId="0">
      <text>
        <r>
          <rPr>
            <b/>
            <sz val="8"/>
            <rFont val="Tahoma"/>
            <family val="2"/>
          </rPr>
          <t>Das Krankentagegeld sollte 80 % des Bruttoeinkommens abdecken, da nach Wegfall der Lohnfortzahlung der Arbeitgeberzuschuss zu den Sozialversicherungsbeiträgen entfällt und diese komplett selbst gezahlt werden müssen.</t>
        </r>
      </text>
    </comment>
  </commentList>
</comments>
</file>

<file path=xl/comments15.xml><?xml version="1.0" encoding="utf-8"?>
<comments xmlns="http://schemas.openxmlformats.org/spreadsheetml/2006/main">
  <authors>
    <author>xi06683</author>
  </authors>
  <commentList>
    <comment ref="B15" authorId="0">
      <text>
        <r>
          <rPr>
            <b/>
            <sz val="8"/>
            <rFont val="Tahoma"/>
            <family val="2"/>
          </rPr>
          <t>Berechnung:
70 % der Praxiseinnahmen</t>
        </r>
      </text>
    </comment>
    <comment ref="B17" authorId="0">
      <text>
        <r>
          <rPr>
            <b/>
            <sz val="8"/>
            <rFont val="Tahoma"/>
            <family val="2"/>
          </rPr>
          <t>Das Krankentagegeld sollte 100 % des Nettoeinkommens abdecken (auf volle 5 € aufgerundet).</t>
        </r>
      </text>
    </comment>
  </commentList>
</comments>
</file>

<file path=xl/comments16.xml><?xml version="1.0" encoding="utf-8"?>
<comments xmlns="http://schemas.openxmlformats.org/spreadsheetml/2006/main">
  <authors>
    <author>xi06683</author>
  </authors>
  <commentList>
    <comment ref="B15" authorId="0">
      <text>
        <r>
          <rPr>
            <b/>
            <sz val="8"/>
            <rFont val="Tahoma"/>
            <family val="2"/>
          </rPr>
          <t>Berechnung:
Praxiseinnahmen
abzgl. Praxisausgaben</t>
        </r>
      </text>
    </comment>
    <comment ref="B17" authorId="0">
      <text>
        <r>
          <rPr>
            <b/>
            <sz val="8"/>
            <rFont val="Tahoma"/>
            <family val="2"/>
          </rPr>
          <t>Berechnung:
Praxiseinnahmen
abzgl. Praxisausgaben
abzgl. Steuern</t>
        </r>
      </text>
    </comment>
    <comment ref="B24" authorId="0">
      <text>
        <r>
          <rPr>
            <b/>
            <sz val="8"/>
            <rFont val="Tahoma"/>
            <family val="2"/>
          </rPr>
          <t>Das Krankentagegeld sollte 100 % des Nettoeinkommens abdecken (auf volle 5 € aufgerundet). 
Ein ggf. vereinbartes Krankengeld wird angerechnet.</t>
        </r>
      </text>
    </comment>
  </commentList>
</comments>
</file>

<file path=xl/comments17.xml><?xml version="1.0" encoding="utf-8"?>
<comments xmlns="http://schemas.openxmlformats.org/spreadsheetml/2006/main">
  <authors>
    <author>xi06683</author>
  </authors>
  <commentList>
    <comment ref="B15" authorId="0">
      <text>
        <r>
          <rPr>
            <b/>
            <sz val="8"/>
            <rFont val="Tahoma"/>
            <family val="2"/>
          </rPr>
          <t>Berechnung:
70 % der Praxiseinnahmen</t>
        </r>
      </text>
    </comment>
    <comment ref="B17" authorId="0">
      <text>
        <r>
          <rPr>
            <b/>
            <sz val="8"/>
            <rFont val="Tahoma"/>
            <family val="2"/>
          </rPr>
          <t>Das Krankentagegeld sollte 100 % des Nettoeinkommens abdecken (auf volle 5 € aufgerundet).</t>
        </r>
      </text>
    </comment>
  </commentList>
</comments>
</file>

<file path=xl/comments18.xml><?xml version="1.0" encoding="utf-8"?>
<comments xmlns="http://schemas.openxmlformats.org/spreadsheetml/2006/main">
  <authors>
    <author>xi06683</author>
  </authors>
  <commentList>
    <comment ref="B15" authorId="0">
      <text>
        <r>
          <rPr>
            <b/>
            <sz val="8"/>
            <rFont val="Tahoma"/>
            <family val="2"/>
          </rPr>
          <t>Berechnung:
Praxiseinnahmen
abzgl. Praxisausgaben</t>
        </r>
      </text>
    </comment>
    <comment ref="B17" authorId="0">
      <text>
        <r>
          <rPr>
            <b/>
            <sz val="8"/>
            <rFont val="Tahoma"/>
            <family val="2"/>
          </rPr>
          <t>Berechnung:
Praxiseinnahmen
abzgl. Praxisausgaben
abzgl. Steuern</t>
        </r>
      </text>
    </comment>
    <comment ref="B24" authorId="0">
      <text>
        <r>
          <rPr>
            <b/>
            <sz val="8"/>
            <rFont val="Tahoma"/>
            <family val="2"/>
          </rPr>
          <t>Das Krankentagegeld sollte 100 % des Nettoeinkommens abdecken (auf volle 5 € aufgerundet). 
Ein ggf. vereinbartes Krankengeld wird angerechnet.</t>
        </r>
      </text>
    </comment>
  </commentList>
</comments>
</file>

<file path=xl/comments19.xml><?xml version="1.0" encoding="utf-8"?>
<comments xmlns="http://schemas.openxmlformats.org/spreadsheetml/2006/main">
  <authors>
    <author>xi06683</author>
  </authors>
  <commentList>
    <comment ref="B4" authorId="0">
      <text>
        <r>
          <rPr>
            <b/>
            <sz val="8"/>
            <rFont val="Tahoma"/>
            <family val="2"/>
          </rPr>
          <t>Freier Mitarbeiter:
steht in keinem Angestelltenverhältnis, sondern unterstützt 
vielmehr auf eigene Rechnung den niedergelassenen Arzt</t>
        </r>
      </text>
    </comment>
    <comment ref="B15" authorId="0">
      <text>
        <r>
          <rPr>
            <b/>
            <sz val="8"/>
            <rFont val="Tahoma"/>
            <family val="2"/>
          </rPr>
          <t>Berechnung:
70 % der Honorareinnahmen</t>
        </r>
      </text>
    </comment>
    <comment ref="B17" authorId="0">
      <text>
        <r>
          <rPr>
            <b/>
            <sz val="8"/>
            <rFont val="Tahoma"/>
            <family val="2"/>
          </rPr>
          <t>Das Krankentagegeld sollte 100 % des Nettoeinkommens abdecken (auf volle 5 € aufgerundet).</t>
        </r>
      </text>
    </comment>
  </commentList>
</comments>
</file>

<file path=xl/comments20.xml><?xml version="1.0" encoding="utf-8"?>
<comments xmlns="http://schemas.openxmlformats.org/spreadsheetml/2006/main">
  <authors>
    <author>xi06683</author>
  </authors>
  <commentList>
    <comment ref="B4" authorId="0">
      <text>
        <r>
          <rPr>
            <b/>
            <sz val="8"/>
            <rFont val="Tahoma"/>
            <family val="2"/>
          </rPr>
          <t>Freier Mitarbeiter:
steht in keinem Angestelltenverhältnis, sondern unterstützt 
vielmehr auf eigene Rechnung den niedergelassenen Arzt</t>
        </r>
      </text>
    </comment>
    <comment ref="B15" authorId="0">
      <text>
        <r>
          <rPr>
            <b/>
            <sz val="8"/>
            <rFont val="Tahoma"/>
            <family val="2"/>
          </rPr>
          <t>Berechnung:
Praxiseinnahmen
abzgl. Praxisausgaben</t>
        </r>
      </text>
    </comment>
    <comment ref="B17" authorId="0">
      <text>
        <r>
          <rPr>
            <b/>
            <sz val="8"/>
            <rFont val="Tahoma"/>
            <family val="2"/>
          </rPr>
          <t>Berechnung:
Praxiseinnahmen
abzgl. Praxisausgaben
abzgl. Steuern</t>
        </r>
      </text>
    </comment>
    <comment ref="B24" authorId="0">
      <text>
        <r>
          <rPr>
            <b/>
            <sz val="8"/>
            <rFont val="Tahoma"/>
            <family val="2"/>
          </rPr>
          <t>Das Krankentagegeld sollte 100 % des Nettoeinkommens abdecken (auf volle 5 € aufgerundet). 
Ein ggf. vereinbartes Krankengeld wird angerechnet.</t>
        </r>
      </text>
    </comment>
  </commentList>
</comments>
</file>

<file path=xl/comments3.xml><?xml version="1.0" encoding="utf-8"?>
<comments xmlns="http://schemas.openxmlformats.org/spreadsheetml/2006/main">
  <authors>
    <author>Ebersohl, Milena</author>
    <author>xi06683</author>
    <author>Andreas Falken</author>
  </authors>
  <commentList>
    <comment ref="B31" authorId="0">
      <text>
        <r>
          <rPr>
            <b/>
            <sz val="8"/>
            <rFont val="Tahoma"/>
            <family val="2"/>
          </rPr>
          <t>aufgerundeter Wert der Einkommenslücke auf volle 5 €.</t>
        </r>
      </text>
    </comment>
    <comment ref="B33" authorId="1">
      <text>
        <r>
          <rPr>
            <b/>
            <sz val="8"/>
            <rFont val="Tahoma"/>
            <family val="2"/>
          </rPr>
          <t>Das Krankentagegeld sollte 80 % des Bruttoeinkommens abdecken, da nach Wegfall der Lohnfortzahlung der Arbeitgeberzuschuss zu den Sozialversicherungsbeiträgen entfällt und diese komplett selbst gezahlt werden müssen. (aufgerundet auf volle 5 €)</t>
        </r>
      </text>
    </comment>
    <comment ref="D35" authorId="2">
      <text>
        <r>
          <rPr>
            <b/>
            <sz val="8"/>
            <rFont val="Tahoma"/>
            <family val="2"/>
          </rPr>
          <t>Bedarfsberechnung: 
80 % vom Brutto, aufgerundet auf volle 5 €</t>
        </r>
      </text>
    </comment>
  </commentList>
</comments>
</file>

<file path=xl/comments4.xml><?xml version="1.0" encoding="utf-8"?>
<comments xmlns="http://schemas.openxmlformats.org/spreadsheetml/2006/main">
  <authors>
    <author>Ebersohl, Milena</author>
    <author>xi06683</author>
  </authors>
  <commentList>
    <comment ref="B32" authorId="0">
      <text>
        <r>
          <rPr>
            <b/>
            <sz val="9"/>
            <rFont val="Segoe UI"/>
            <family val="2"/>
          </rPr>
          <t>Im Krankheitsfall sollte das Nettoeinkommen abgesichert werden. 
Die GKV zahlt Krankengeld (90 % vom Netto, max. 3.281,25 € abzgl. SV-Beiträge). Der Rest sollte über das Krankentagegeld abgesichert werden.</t>
        </r>
      </text>
    </comment>
    <comment ref="B34" authorId="1">
      <text>
        <r>
          <rPr>
            <b/>
            <sz val="8"/>
            <rFont val="Tahoma"/>
            <family val="2"/>
          </rPr>
          <t>Im Krankheitsfall sollte das Nettoeinkommen abgesichert werden. 
Die GKV zahlt Krankengeld (90 % vom Netto, max. 3.281,25 € abzgl. SV-Beiträge). Der Rest sollte über das Krankentagegeld abgesichert werden.</t>
        </r>
      </text>
    </comment>
    <comment ref="D36" authorId="1">
      <text>
        <r>
          <rPr>
            <b/>
            <sz val="8"/>
            <rFont val="Tahoma"/>
            <family val="2"/>
          </rPr>
          <t>Bedarfsberechnung: 
90 % vom Netto abzgl. Krankengeld der GKV, aufgerundet auf volle 5 €</t>
        </r>
      </text>
    </comment>
  </commentList>
</comments>
</file>

<file path=xl/comments5.xml><?xml version="1.0" encoding="utf-8"?>
<comments xmlns="http://schemas.openxmlformats.org/spreadsheetml/2006/main">
  <authors>
    <author>xi06683</author>
  </authors>
  <commentList>
    <comment ref="B17" authorId="0">
      <text>
        <r>
          <rPr>
            <b/>
            <sz val="8"/>
            <rFont val="Tahoma"/>
            <family val="2"/>
          </rPr>
          <t>Bedarfsberechnung: 
80 % des einkommensteuerrechtlichen Gewinns aus der selbstständigen Tätigkeit (ermittelt nach Betriebsvermögensvergleich oder EinnahmenÜberschuss-Rechnung).
aufgerundet auf volle 5 €</t>
        </r>
      </text>
    </comment>
    <comment ref="B21" authorId="0">
      <text>
        <r>
          <rPr>
            <b/>
            <sz val="8"/>
            <rFont val="Tahoma"/>
            <family val="2"/>
          </rPr>
          <t>max. 100 € versicherbar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max. 100 € versicherbar </t>
        </r>
        <r>
          <rPr>
            <sz val="8"/>
            <rFont val="Tahoma"/>
            <family val="2"/>
          </rPr>
          <t>(die in KT.22 nicht in Anspruch genommenen Beträge können auf KT.29 übertragen werden)</t>
        </r>
      </text>
    </comment>
    <comment ref="B23" authorId="0">
      <text>
        <r>
          <rPr>
            <b/>
            <sz val="8"/>
            <rFont val="Tahoma"/>
            <family val="2"/>
          </rPr>
          <t>versicherbares Höchst-tagegeld (über alle Karenzstufen) 400 €</t>
        </r>
      </text>
    </comment>
  </commentList>
</comments>
</file>

<file path=xl/comments6.xml><?xml version="1.0" encoding="utf-8"?>
<comments xmlns="http://schemas.openxmlformats.org/spreadsheetml/2006/main">
  <authors>
    <author>xi06683</author>
  </authors>
  <commentList>
    <comment ref="B24" authorId="0">
      <text>
        <r>
          <rPr>
            <b/>
            <sz val="8"/>
            <rFont val="Tahoma"/>
            <family val="2"/>
          </rPr>
          <t xml:space="preserve">Bedarfsberechnung: 
80 % des einkommensteuerrechtlichen Gewinns aus der selbstständigen Tätigkeit (ermittelt nach Betriebsvermögensvergleich oder EinnahmenÜberschuss-Rechnung).
Ein ggf. vereinbartes Krankengeld wird angerechnet. Aufgerundet auf volle 5 €
</t>
        </r>
      </text>
    </comment>
    <comment ref="B28" authorId="0">
      <text>
        <r>
          <rPr>
            <b/>
            <sz val="8"/>
            <rFont val="Tahoma"/>
            <family val="2"/>
          </rPr>
          <t>max. 100 € versicherbar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max. 100 € versicherbar </t>
        </r>
        <r>
          <rPr>
            <sz val="8"/>
            <rFont val="Tahoma"/>
            <family val="2"/>
          </rPr>
          <t>(die in KT.22 nicht in Anspruch genommenen Beträge können auf KT.29 übertragen werden)</t>
        </r>
      </text>
    </comment>
    <comment ref="B30" authorId="0">
      <text>
        <r>
          <rPr>
            <b/>
            <sz val="8"/>
            <rFont val="Tahoma"/>
            <family val="2"/>
          </rPr>
          <t>versicherbares Höchst-tagegeld (über alle Karenzstufen) 400 €</t>
        </r>
      </text>
    </comment>
  </commentList>
</comments>
</file>

<file path=xl/comments7.xml><?xml version="1.0" encoding="utf-8"?>
<comments xmlns="http://schemas.openxmlformats.org/spreadsheetml/2006/main">
  <authors>
    <author>xi06683</author>
    <author>Andreas Falken</author>
    <author>Ebersohl, Milena</author>
  </authors>
  <commentList>
    <comment ref="B17" authorId="0">
      <text>
        <r>
          <rPr>
            <b/>
            <sz val="8"/>
            <rFont val="Tahoma"/>
            <family val="2"/>
          </rPr>
          <t>Bedarfsberechnung: 
80 % des einkommensteuerrechtlichen Gewinns aus der selbstständigen Tätigkeit (ermittelt nach Betriebsvermögensvergleich oder EinnahmenÜberschuss-Rechnung).
aufgerundet auf volle 5 €</t>
        </r>
      </text>
    </comment>
    <comment ref="B22" authorId="0">
      <text>
        <r>
          <rPr>
            <b/>
            <sz val="8"/>
            <rFont val="Tahoma"/>
            <family val="2"/>
          </rPr>
          <t>max. 50 € versicherbar</t>
        </r>
      </text>
    </comment>
    <comment ref="B23" authorId="1">
      <text>
        <r>
          <rPr>
            <b/>
            <sz val="8"/>
            <rFont val="Tahoma"/>
            <family val="2"/>
          </rPr>
          <t xml:space="preserve">max. 50 € versicherbar </t>
        </r>
        <r>
          <rPr>
            <sz val="8"/>
            <rFont val="Tahoma"/>
            <family val="2"/>
          </rPr>
          <t>(die in KT.22 nicht in Anspruch genommenen Beträge können auf KT.29 übertragen werden)</t>
        </r>
      </text>
    </comment>
    <comment ref="B24" authorId="2">
      <text>
        <r>
          <rPr>
            <b/>
            <sz val="8"/>
            <rFont val="Tahoma"/>
            <family val="2"/>
          </rPr>
          <t>versicherbarer Höchst-tagegeld (über alle Karrenzstufen) 200 €</t>
        </r>
      </text>
    </comment>
  </commentList>
</comments>
</file>

<file path=xl/comments8.xml><?xml version="1.0" encoding="utf-8"?>
<comments xmlns="http://schemas.openxmlformats.org/spreadsheetml/2006/main">
  <authors>
    <author>xi06683</author>
  </authors>
  <commentList>
    <comment ref="B24" authorId="0">
      <text>
        <r>
          <rPr>
            <b/>
            <sz val="8"/>
            <rFont val="Tahoma"/>
            <family val="2"/>
          </rPr>
          <t>Bedarfsberechnung: 
80 % des einkommensteuerrechtlichen Gewinns aus der selbstständigen Tätigkeit (ermittelt nach Betriebsvermögensvergleich oder EinnahmenÜberschuss-Rechnung).
aufgerundet auf volle 5 €</t>
        </r>
      </text>
    </comment>
    <comment ref="B28" authorId="0">
      <text>
        <r>
          <rPr>
            <b/>
            <sz val="8"/>
            <rFont val="Tahoma"/>
            <family val="2"/>
          </rPr>
          <t>max. 50 € versicherbar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max. 50 € versicherbar </t>
        </r>
        <r>
          <rPr>
            <sz val="8"/>
            <rFont val="Tahoma"/>
            <family val="2"/>
          </rPr>
          <t>(die in KT.22 nicht in Anspruch genommenen Beträge können auf KT.29 übertragen werden)</t>
        </r>
      </text>
    </comment>
    <comment ref="B30" authorId="0">
      <text>
        <r>
          <rPr>
            <b/>
            <sz val="8"/>
            <rFont val="Tahoma"/>
            <family val="2"/>
          </rPr>
          <t>versicherbares Höchst-tagegeld (über alle Karenzstufen) 200 €</t>
        </r>
      </text>
    </comment>
  </commentList>
</comments>
</file>

<file path=xl/comments9.xml><?xml version="1.0" encoding="utf-8"?>
<comments xmlns="http://schemas.openxmlformats.org/spreadsheetml/2006/main">
  <authors>
    <author>xi06683</author>
  </authors>
  <commentList>
    <comment ref="B17" authorId="0">
      <text>
        <r>
          <rPr>
            <b/>
            <sz val="8"/>
            <rFont val="Tahoma"/>
            <family val="2"/>
          </rPr>
          <t>Bedarfsberechnung: 
80 % des einkommensteuerrechtlichen Gewinns aus der selbstständigen Tätigkeit (ermittelt nach Betriebsvermögensvergleich oder EinnahmenÜberschuss-Rechnung).
aufgerundet auf volle 5 €</t>
        </r>
      </text>
    </comment>
    <comment ref="B22" authorId="0">
      <text>
        <r>
          <rPr>
            <b/>
            <sz val="8"/>
            <rFont val="Tahoma"/>
            <family val="2"/>
          </rPr>
          <t>max. 100 € versicherbar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max. 100 € versicherbar </t>
        </r>
        <r>
          <rPr>
            <sz val="8"/>
            <rFont val="Tahoma"/>
            <family val="2"/>
          </rPr>
          <t>(die in FKT.22 nicht in Anspruch genommenen Beträge können auf KT.29 übertragen werden)</t>
        </r>
      </text>
    </comment>
    <comment ref="B24" authorId="0">
      <text>
        <r>
          <rPr>
            <b/>
            <sz val="8"/>
            <rFont val="Tahoma"/>
            <family val="2"/>
          </rPr>
          <t>versicherbares Höchst-tagegeld (über alle Karenzstufen) 400 €</t>
        </r>
      </text>
    </comment>
  </commentList>
</comments>
</file>

<file path=xl/sharedStrings.xml><?xml version="1.0" encoding="utf-8"?>
<sst xmlns="http://schemas.openxmlformats.org/spreadsheetml/2006/main" count="563" uniqueCount="125">
  <si>
    <t>berufliche Stellung</t>
  </si>
  <si>
    <t>Arbeitnehmer</t>
  </si>
  <si>
    <t>Selbstständiger</t>
  </si>
  <si>
    <t>Auszubildender</t>
  </si>
  <si>
    <t>Selbstständiger im 1. bis 3. Jahr</t>
  </si>
  <si>
    <t>Freiberufler</t>
  </si>
  <si>
    <t>Freiberufler im 1. bis 3. Jahr</t>
  </si>
  <si>
    <t>angestellter Arzt/Zahnarzt</t>
  </si>
  <si>
    <t>Praxisinhaber</t>
  </si>
  <si>
    <t>Praxisgründer im 1.-3. Jahr der Niederlassung</t>
  </si>
  <si>
    <t>freier Mitarbeiter (Arzt/Zahnarzt)</t>
  </si>
  <si>
    <t>Krankenversicherung bei</t>
  </si>
  <si>
    <t>Berufliche Stellung</t>
  </si>
  <si>
    <t>HALLESCHE</t>
  </si>
  <si>
    <t>andere PKV</t>
  </si>
  <si>
    <t>Auswahl berufliche Stellung:</t>
  </si>
  <si>
    <t>Auswahl Krankenversicherung</t>
  </si>
  <si>
    <t>Kombination:</t>
  </si>
  <si>
    <t>Arbeitnehmer - HALLESCHE</t>
  </si>
  <si>
    <t>Arbeitnehmer - GKV</t>
  </si>
  <si>
    <t>Bruttogehalt pro Monat</t>
  </si>
  <si>
    <t>Anzahl der Monatsgehälter</t>
  </si>
  <si>
    <t>(inkl. regelmäßige Sonderzahlungen 
wie z.B. Weihnachts-/Urlaubsgeld)</t>
  </si>
  <si>
    <t>Jahres-Bruttoeinkommen:</t>
  </si>
  <si>
    <t>x</t>
  </si>
  <si>
    <t>=</t>
  </si>
  <si>
    <t>Lohnfortzahlung im Krankheitsfall:</t>
  </si>
  <si>
    <t>Lohnfortzahlung</t>
  </si>
  <si>
    <t>Krankentagegeld-Bedarf</t>
  </si>
  <si>
    <t>KT.43</t>
  </si>
  <si>
    <t>KT.64</t>
  </si>
  <si>
    <t>KT.92</t>
  </si>
  <si>
    <t>KT.183</t>
  </si>
  <si>
    <t>KT.274</t>
  </si>
  <si>
    <t>KT.365</t>
  </si>
  <si>
    <t>Geburtsjahr</t>
  </si>
  <si>
    <t>Versicherungsbeginn</t>
  </si>
  <si>
    <t>Karenzstufe</t>
  </si>
  <si>
    <t>Beitrag</t>
  </si>
  <si>
    <t>KT-Höhe</t>
  </si>
  <si>
    <t>monatl. Brutto</t>
  </si>
  <si>
    <t>KG-Anspruch</t>
  </si>
  <si>
    <t>80% vom Brutto</t>
  </si>
  <si>
    <t>Lücke pro Tag</t>
  </si>
  <si>
    <t>Lücke pro Monat</t>
  </si>
  <si>
    <t>70% vom Brutto</t>
  </si>
  <si>
    <t>AN-Anteil zur RV</t>
  </si>
  <si>
    <t>AN-Anteil zur AloV</t>
  </si>
  <si>
    <t>AN-Anteil zur PV</t>
  </si>
  <si>
    <t>Summe SV</t>
  </si>
  <si>
    <t>Selbstständiger - HALLESCHE</t>
  </si>
  <si>
    <t>Nettoeinkommen pro Monat</t>
  </si>
  <si>
    <t>FKT.22</t>
  </si>
  <si>
    <t>FKT.43</t>
  </si>
  <si>
    <t>KT.22</t>
  </si>
  <si>
    <t>KT.29</t>
  </si>
  <si>
    <t>Stand</t>
  </si>
  <si>
    <t>01.15</t>
  </si>
  <si>
    <t>Alter</t>
  </si>
  <si>
    <t>€</t>
  </si>
  <si>
    <t>KT-Bedarf</t>
  </si>
  <si>
    <t>Summe:</t>
  </si>
  <si>
    <t>(in 5 € Schritten)</t>
  </si>
  <si>
    <t>Freiberufler - HALLESCHE</t>
  </si>
  <si>
    <t>Selbstständiger - GKV</t>
  </si>
  <si>
    <t>KT versicherbar</t>
  </si>
  <si>
    <t>Wurde bei der GKV der Anspruch auf Krankengeld gewählt?</t>
  </si>
  <si>
    <t>ja</t>
  </si>
  <si>
    <t>nein</t>
  </si>
  <si>
    <t>Beitrag Pflege</t>
  </si>
  <si>
    <t>Lücke mit KG</t>
  </si>
  <si>
    <t>Lücke ohne KG</t>
  </si>
  <si>
    <t>Lücke</t>
  </si>
  <si>
    <t>Selbstständiger im 1. bis 3. Jahr - GKV</t>
  </si>
  <si>
    <t>Freiberufler im 1. bis 3. Jahr - GKV</t>
  </si>
  <si>
    <t>Jahres-Einkommen vor Steuern (beitragspflichtig)</t>
  </si>
  <si>
    <t>Jahres-Einkommen nach Steuern (versicherbar)</t>
  </si>
  <si>
    <t>Freiberufler - GKV</t>
  </si>
  <si>
    <t>MKT.15</t>
  </si>
  <si>
    <t>MKT.22</t>
  </si>
  <si>
    <t>MKT.29</t>
  </si>
  <si>
    <t>MKT.43</t>
  </si>
  <si>
    <t>Praxisinhaber - HALLESCHE</t>
  </si>
  <si>
    <t>Praxisgründer im 1. bis 3. Jahr</t>
  </si>
  <si>
    <t xml:space="preserve">        GKV</t>
  </si>
  <si>
    <t>Praxisinhaber - GKV</t>
  </si>
  <si>
    <t>Praxisgründer im 1. bis 3. Jahr - GKV</t>
  </si>
  <si>
    <t>BBG (monatl.)</t>
  </si>
  <si>
    <t>Brutto KG</t>
  </si>
  <si>
    <t>abzgl. SV</t>
  </si>
  <si>
    <t>6 Wochen (gesetzlich, 42 Tage)</t>
  </si>
  <si>
    <t>9 Wochen (63 Tage)</t>
  </si>
  <si>
    <t>13 Wochen (91 Tage)</t>
  </si>
  <si>
    <t>ein halbes Jahr (182 Tage)</t>
  </si>
  <si>
    <t>ein dreiviertel Jahr (273 Tage)</t>
  </si>
  <si>
    <t>ein ganzes Jahr (364 Tage)</t>
  </si>
  <si>
    <t>maßgebl. SV</t>
  </si>
  <si>
    <t>Netto KG</t>
  </si>
  <si>
    <t>KG-Anspruch?</t>
  </si>
  <si>
    <t>gilt immer</t>
  </si>
  <si>
    <t>ACHTUNG!
SV-Werte aktualisieren!</t>
  </si>
  <si>
    <t>Berechnung unverbindlich. Verbindliche Beiträge unter www.hallesche.de/onlineservice</t>
  </si>
  <si>
    <t>Bedarfsrechner KT</t>
  </si>
  <si>
    <t>Angestellter Arzt - HALLESCHE</t>
  </si>
  <si>
    <t>Angestellter Arzt - GKV</t>
  </si>
  <si>
    <t xml:space="preserve">Freier Mitarbeiter (Arzt/Zahnarzt) </t>
  </si>
  <si>
    <t>Freier Mitarbeiter (Arzt/Zahnarzt) - GKV</t>
  </si>
  <si>
    <t>Pflicht (1) - NP (2)</t>
  </si>
  <si>
    <t>Einkommensteuerrechtlicher Gewinn pro Jahr</t>
  </si>
  <si>
    <t>Gewinn</t>
  </si>
  <si>
    <t>80% vom Gewinn</t>
  </si>
  <si>
    <t>01.18</t>
  </si>
  <si>
    <t>BBG monatlich (2019)</t>
  </si>
  <si>
    <t>BBG jährlich (2019)</t>
  </si>
  <si>
    <t>01.19</t>
  </si>
  <si>
    <t>Nettogehalt pro Monat</t>
  </si>
  <si>
    <t>Nettoeinkommen</t>
  </si>
  <si>
    <t>90 % vom Netto</t>
  </si>
  <si>
    <t>70 % von BBG</t>
  </si>
  <si>
    <t>JAEG GKV (2020)</t>
  </si>
  <si>
    <t>max. Krankengeld (70% aus 4687,50 €)</t>
  </si>
  <si>
    <t>Einkommenslücke pro Monat</t>
  </si>
  <si>
    <t>Jahr 2020</t>
  </si>
  <si>
    <t>01.20</t>
  </si>
  <si>
    <t>6 Wochen (gesetzliche Regelung, 42 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</si>
</sst>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  <numFmt numFmtId="166" formatCode="#,##0.0"/>
    <numFmt numFmtId="167" formatCode="#,##0.0\ &quot;€&quot;"/>
    <numFmt numFmtId="168" formatCode="_-* #,##0.00\ [$€-407]_-;\-* #,##0.00\ [$€-407]_-;_-* &quot;-&quot;??\ [$€-407]_-;_-@_-"/>
    <numFmt numFmtId="169" formatCode="0.000%"/>
    <numFmt numFmtId="170" formatCode="dd/mm/yy"/>
    <numFmt numFmtId="171" formatCode="_-* #,##0\ &quot;€&quot;_-;\-* #,##0\ &quot;€&quot;_-;_-* &quot;-&quot;??\ &quot;€&quot;_-;_-@_-"/>
  </numFmts>
  <fonts count="26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sz val="8"/>
      <name val="Tahoma"/>
      <family val="2"/>
    </font>
    <font>
      <sz val="22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6"/>
      <color rgb="FFE23E21"/>
      <name val="Times New Roman"/>
      <family val="1"/>
    </font>
    <font>
      <b/>
      <sz val="12"/>
      <color rgb="FFE23E21"/>
      <name val="Times New Roman"/>
      <family val="1"/>
    </font>
    <font>
      <sz val="10"/>
      <color rgb="FFE23E2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Segoe UI"/>
      <family val="2"/>
    </font>
    <font>
      <sz val="14"/>
      <color theme="0"/>
      <name val="Times New Roman"/>
      <family val="2"/>
    </font>
    <font>
      <b/>
      <sz val="8"/>
      <name val="Arial"/>
      <family val="2"/>
    </font>
    <font>
      <sz val="10"/>
      <color theme="0"/>
      <name val="Arial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4F1F9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0" borderId="0" xfId="0" applyFont="1"/>
    <xf numFmtId="0" fontId="0" fillId="5" borderId="0" xfId="0" applyFill="1"/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right"/>
    </xf>
    <xf numFmtId="6" fontId="4" fillId="0" borderId="1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right"/>
    </xf>
    <xf numFmtId="0" fontId="3" fillId="0" borderId="1" xfId="0" applyFont="1" applyFill="1" applyBorder="1" applyAlignment="1" quotePrefix="1">
      <alignment horizontal="left"/>
    </xf>
    <xf numFmtId="2" fontId="3" fillId="0" borderId="2" xfId="0" applyNumberFormat="1" applyFont="1" applyFill="1" applyBorder="1"/>
    <xf numFmtId="0" fontId="3" fillId="0" borderId="3" xfId="0" applyFont="1" applyFill="1" applyBorder="1" applyAlignment="1" quotePrefix="1">
      <alignment horizontal="left"/>
    </xf>
    <xf numFmtId="2" fontId="3" fillId="0" borderId="4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4" fontId="0" fillId="4" borderId="0" xfId="0" applyNumberFormat="1" applyFill="1" applyAlignment="1">
      <alignment horizontal="left"/>
    </xf>
    <xf numFmtId="2" fontId="3" fillId="0" borderId="0" xfId="0" applyNumberFormat="1" applyFont="1" applyFill="1" applyBorder="1"/>
    <xf numFmtId="0" fontId="3" fillId="0" borderId="1" xfId="0" applyFont="1" applyFill="1" applyBorder="1"/>
    <xf numFmtId="170" fontId="3" fillId="0" borderId="0" xfId="0" applyNumberFormat="1" applyFont="1" applyFill="1" applyBorder="1" applyAlignment="1" quotePrefix="1">
      <alignment horizontal="right"/>
    </xf>
    <xf numFmtId="170" fontId="3" fillId="0" borderId="2" xfId="0" applyNumberFormat="1" applyFont="1" applyFill="1" applyBorder="1" applyAlignment="1" quotePrefix="1">
      <alignment horizontal="right"/>
    </xf>
    <xf numFmtId="170" fontId="3" fillId="0" borderId="0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/>
    </xf>
    <xf numFmtId="2" fontId="3" fillId="0" borderId="0" xfId="0" applyNumberFormat="1" applyFont="1" applyFill="1"/>
    <xf numFmtId="2" fontId="3" fillId="0" borderId="7" xfId="0" applyNumberFormat="1" applyFont="1" applyFill="1" applyBorder="1"/>
    <xf numFmtId="0" fontId="0" fillId="6" borderId="0" xfId="0" applyFill="1"/>
    <xf numFmtId="0" fontId="6" fillId="7" borderId="8" xfId="21" applyFont="1" applyFill="1" applyBorder="1" applyProtection="1">
      <alignment/>
      <protection hidden="1" locked="0"/>
    </xf>
    <xf numFmtId="8" fontId="6" fillId="7" borderId="8" xfId="21" applyNumberFormat="1" applyFont="1" applyFill="1" applyBorder="1" applyProtection="1">
      <alignment/>
      <protection hidden="1" locked="0"/>
    </xf>
    <xf numFmtId="168" fontId="6" fillId="7" borderId="8" xfId="21" applyNumberFormat="1" applyFont="1" applyFill="1" applyBorder="1" applyProtection="1">
      <alignment/>
      <protection hidden="1" locked="0"/>
    </xf>
    <xf numFmtId="10" fontId="6" fillId="7" borderId="8" xfId="20" applyNumberFormat="1" applyFont="1" applyFill="1" applyBorder="1" applyProtection="1">
      <protection hidden="1" locked="0"/>
    </xf>
    <xf numFmtId="169" fontId="6" fillId="7" borderId="8" xfId="20" applyNumberFormat="1" applyFont="1" applyFill="1" applyBorder="1" applyProtection="1">
      <protection hidden="1" locked="0"/>
    </xf>
    <xf numFmtId="0" fontId="9" fillId="8" borderId="0" xfId="0" applyFont="1" applyFill="1"/>
    <xf numFmtId="0" fontId="9" fillId="0" borderId="0" xfId="0" applyFont="1"/>
    <xf numFmtId="0" fontId="9" fillId="9" borderId="8" xfId="0" applyFont="1" applyFill="1" applyBorder="1"/>
    <xf numFmtId="0" fontId="9" fillId="10" borderId="0" xfId="0" applyFont="1" applyFill="1"/>
    <xf numFmtId="0" fontId="10" fillId="10" borderId="0" xfId="0" applyFont="1" applyFill="1"/>
    <xf numFmtId="1" fontId="11" fillId="8" borderId="8" xfId="0" applyNumberFormat="1" applyFont="1" applyFill="1" applyBorder="1" applyAlignment="1" applyProtection="1">
      <alignment horizontal="center"/>
      <protection locked="0"/>
    </xf>
    <xf numFmtId="1" fontId="9" fillId="9" borderId="8" xfId="0" applyNumberFormat="1" applyFont="1" applyFill="1" applyBorder="1"/>
    <xf numFmtId="14" fontId="11" fillId="8" borderId="8" xfId="0" applyNumberFormat="1" applyFont="1" applyFill="1" applyBorder="1" applyAlignment="1" applyProtection="1">
      <alignment horizontal="center"/>
      <protection locked="0"/>
    </xf>
    <xf numFmtId="165" fontId="11" fillId="8" borderId="8" xfId="0" applyNumberFormat="1" applyFont="1" applyFill="1" applyBorder="1" applyAlignment="1" applyProtection="1">
      <alignment horizontal="center"/>
      <protection locked="0"/>
    </xf>
    <xf numFmtId="166" fontId="11" fillId="8" borderId="8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/>
    <xf numFmtId="165" fontId="10" fillId="10" borderId="0" xfId="0" applyNumberFormat="1" applyFont="1" applyFill="1" applyAlignment="1">
      <alignment horizontal="center"/>
    </xf>
    <xf numFmtId="0" fontId="12" fillId="10" borderId="0" xfId="0" applyFont="1" applyFill="1"/>
    <xf numFmtId="0" fontId="10" fillId="10" borderId="0" xfId="0" applyFont="1" applyFill="1" applyAlignment="1">
      <alignment horizontal="left"/>
    </xf>
    <xf numFmtId="0" fontId="10" fillId="10" borderId="0" xfId="0" applyFont="1" applyFill="1" applyAlignment="1">
      <alignment horizontal="center"/>
    </xf>
    <xf numFmtId="165" fontId="10" fillId="10" borderId="0" xfId="0" applyNumberFormat="1" applyFont="1" applyFill="1" applyAlignment="1">
      <alignment horizontal="left"/>
    </xf>
    <xf numFmtId="164" fontId="10" fillId="10" borderId="0" xfId="0" applyNumberFormat="1" applyFont="1" applyFill="1" applyAlignment="1">
      <alignment horizontal="left"/>
    </xf>
    <xf numFmtId="3" fontId="9" fillId="9" borderId="8" xfId="0" applyNumberFormat="1" applyFont="1" applyFill="1" applyBorder="1"/>
    <xf numFmtId="0" fontId="11" fillId="8" borderId="0" xfId="0" applyFont="1" applyFill="1"/>
    <xf numFmtId="0" fontId="11" fillId="0" borderId="0" xfId="0" applyFont="1"/>
    <xf numFmtId="0" fontId="11" fillId="9" borderId="8" xfId="0" applyFont="1" applyFill="1" applyBorder="1"/>
    <xf numFmtId="0" fontId="11" fillId="10" borderId="0" xfId="0" applyFont="1" applyFill="1"/>
    <xf numFmtId="1" fontId="11" fillId="9" borderId="8" xfId="0" applyNumberFormat="1" applyFont="1" applyFill="1" applyBorder="1"/>
    <xf numFmtId="0" fontId="11" fillId="10" borderId="0" xfId="0" applyFont="1" applyFill="1" applyAlignment="1">
      <alignment horizontal="center"/>
    </xf>
    <xf numFmtId="164" fontId="9" fillId="9" borderId="8" xfId="0" applyNumberFormat="1" applyFont="1" applyFill="1" applyBorder="1"/>
    <xf numFmtId="9" fontId="9" fillId="9" borderId="8" xfId="0" applyNumberFormat="1" applyFont="1" applyFill="1" applyBorder="1"/>
    <xf numFmtId="8" fontId="9" fillId="0" borderId="0" xfId="0" applyNumberFormat="1" applyFont="1"/>
    <xf numFmtId="165" fontId="9" fillId="9" borderId="8" xfId="0" applyNumberFormat="1" applyFont="1" applyFill="1" applyBorder="1"/>
    <xf numFmtId="165" fontId="9" fillId="0" borderId="0" xfId="0" applyNumberFormat="1" applyFont="1"/>
    <xf numFmtId="0" fontId="10" fillId="10" borderId="0" xfId="0" applyFont="1" applyFill="1" applyAlignment="1">
      <alignment/>
    </xf>
    <xf numFmtId="165" fontId="9" fillId="0" borderId="0" xfId="0" applyNumberFormat="1" applyFont="1" applyAlignment="1">
      <alignment horizontal="right"/>
    </xf>
    <xf numFmtId="0" fontId="10" fillId="10" borderId="0" xfId="0" applyFont="1" applyFill="1" applyAlignment="1">
      <alignment horizontal="right"/>
    </xf>
    <xf numFmtId="0" fontId="14" fillId="10" borderId="0" xfId="0" applyFont="1" applyFill="1" applyAlignment="1">
      <alignment horizontal="center" vertical="top"/>
    </xf>
    <xf numFmtId="164" fontId="11" fillId="10" borderId="0" xfId="0" applyNumberFormat="1" applyFont="1" applyFill="1" applyAlignment="1">
      <alignment horizontal="right"/>
    </xf>
    <xf numFmtId="1" fontId="10" fillId="8" borderId="8" xfId="0" applyNumberFormat="1" applyFont="1" applyFill="1" applyBorder="1" applyAlignment="1" applyProtection="1">
      <alignment horizontal="left"/>
      <protection locked="0"/>
    </xf>
    <xf numFmtId="165" fontId="9" fillId="0" borderId="0" xfId="0" applyNumberFormat="1" applyFont="1" applyFill="1" applyBorder="1" applyAlignment="1">
      <alignment horizontal="right"/>
    </xf>
    <xf numFmtId="164" fontId="10" fillId="10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9" borderId="8" xfId="0" applyFont="1" applyFill="1" applyBorder="1" applyProtection="1">
      <protection locked="0"/>
    </xf>
    <xf numFmtId="0" fontId="9" fillId="0" borderId="0" xfId="0" applyFont="1" applyProtection="1">
      <protection locked="0"/>
    </xf>
    <xf numFmtId="1" fontId="9" fillId="9" borderId="8" xfId="0" applyNumberFormat="1" applyFont="1" applyFill="1" applyBorder="1" applyProtection="1">
      <protection locked="0"/>
    </xf>
    <xf numFmtId="164" fontId="9" fillId="9" borderId="8" xfId="0" applyNumberFormat="1" applyFont="1" applyFill="1" applyBorder="1" applyProtection="1">
      <protection locked="0"/>
    </xf>
    <xf numFmtId="9" fontId="9" fillId="9" borderId="8" xfId="0" applyNumberFormat="1" applyFont="1" applyFill="1" applyBorder="1" applyProtection="1">
      <protection locked="0"/>
    </xf>
    <xf numFmtId="165" fontId="9" fillId="9" borderId="8" xfId="0" applyNumberFormat="1" applyFont="1" applyFill="1" applyBorder="1" applyProtection="1">
      <protection locked="0"/>
    </xf>
    <xf numFmtId="3" fontId="9" fillId="9" borderId="8" xfId="0" applyNumberFormat="1" applyFont="1" applyFill="1" applyBorder="1" applyProtection="1">
      <protection locked="0"/>
    </xf>
    <xf numFmtId="167" fontId="9" fillId="9" borderId="8" xfId="0" applyNumberFormat="1" applyFont="1" applyFill="1" applyBorder="1" applyProtection="1">
      <protection locked="0"/>
    </xf>
    <xf numFmtId="0" fontId="11" fillId="10" borderId="0" xfId="0" applyFont="1" applyFill="1" applyProtection="1">
      <protection locked="0"/>
    </xf>
    <xf numFmtId="0" fontId="11" fillId="0" borderId="0" xfId="0" applyFont="1" applyAlignment="1">
      <alignment horizontal="right"/>
    </xf>
    <xf numFmtId="165" fontId="11" fillId="0" borderId="0" xfId="0" applyNumberFormat="1" applyFont="1"/>
    <xf numFmtId="165" fontId="11" fillId="0" borderId="0" xfId="0" applyNumberFormat="1" applyFont="1" applyAlignment="1">
      <alignment horizontal="right"/>
    </xf>
    <xf numFmtId="164" fontId="11" fillId="9" borderId="8" xfId="0" applyNumberFormat="1" applyFont="1" applyFill="1" applyBorder="1"/>
    <xf numFmtId="165" fontId="11" fillId="0" borderId="0" xfId="0" applyNumberFormat="1" applyFont="1" applyFill="1" applyBorder="1" applyAlignment="1">
      <alignment horizontal="right"/>
    </xf>
    <xf numFmtId="164" fontId="9" fillId="0" borderId="0" xfId="0" applyNumberFormat="1" applyFont="1"/>
    <xf numFmtId="167" fontId="9" fillId="9" borderId="8" xfId="0" applyNumberFormat="1" applyFont="1" applyFill="1" applyBorder="1"/>
    <xf numFmtId="0" fontId="9" fillId="9" borderId="0" xfId="0" applyFont="1" applyFill="1" applyBorder="1"/>
    <xf numFmtId="0" fontId="17" fillId="8" borderId="0" xfId="0" applyFont="1" applyFill="1"/>
    <xf numFmtId="0" fontId="18" fillId="8" borderId="0" xfId="0" applyFont="1" applyFill="1"/>
    <xf numFmtId="0" fontId="19" fillId="8" borderId="0" xfId="0" applyFont="1" applyFill="1"/>
    <xf numFmtId="2" fontId="3" fillId="11" borderId="2" xfId="0" applyNumberFormat="1" applyFont="1" applyFill="1" applyBorder="1"/>
    <xf numFmtId="2" fontId="3" fillId="11" borderId="4" xfId="0" applyNumberFormat="1" applyFont="1" applyFill="1" applyBorder="1"/>
    <xf numFmtId="0" fontId="9" fillId="9" borderId="8" xfId="0" applyNumberFormat="1" applyFont="1" applyFill="1" applyBorder="1"/>
    <xf numFmtId="0" fontId="20" fillId="9" borderId="8" xfId="0" applyFont="1" applyFill="1" applyBorder="1" applyProtection="1">
      <protection locked="0"/>
    </xf>
    <xf numFmtId="164" fontId="20" fillId="9" borderId="8" xfId="0" applyNumberFormat="1" applyFont="1" applyFill="1" applyBorder="1" applyProtection="1">
      <protection locked="0"/>
    </xf>
    <xf numFmtId="2" fontId="21" fillId="11" borderId="2" xfId="0" applyNumberFormat="1" applyFont="1" applyFill="1" applyBorder="1"/>
    <xf numFmtId="2" fontId="21" fillId="11" borderId="4" xfId="0" applyNumberFormat="1" applyFont="1" applyFill="1" applyBorder="1"/>
    <xf numFmtId="171" fontId="9" fillId="9" borderId="8" xfId="22" applyNumberFormat="1" applyFont="1" applyFill="1" applyBorder="1"/>
    <xf numFmtId="164" fontId="10" fillId="10" borderId="0" xfId="0" applyNumberFormat="1" applyFont="1" applyFill="1"/>
    <xf numFmtId="8" fontId="6" fillId="7" borderId="8" xfId="21" applyNumberFormat="1" applyFont="1" applyFill="1" applyBorder="1" applyAlignment="1" applyProtection="1">
      <alignment horizontal="right"/>
      <protection hidden="1" locked="0"/>
    </xf>
    <xf numFmtId="0" fontId="10" fillId="1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2" fillId="3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11" fillId="8" borderId="9" xfId="0" applyNumberFormat="1" applyFont="1" applyFill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10" fillId="10" borderId="0" xfId="0" applyFont="1" applyFill="1" applyAlignment="1">
      <alignment/>
    </xf>
    <xf numFmtId="0" fontId="11" fillId="1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1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0" fillId="10" borderId="0" xfId="0" applyFont="1" applyFill="1" applyAlignment="1">
      <alignment horizontal="left"/>
    </xf>
    <xf numFmtId="0" fontId="0" fillId="0" borderId="1" xfId="0" applyBorder="1" applyAlignment="1">
      <alignment/>
    </xf>
    <xf numFmtId="165" fontId="13" fillId="10" borderId="0" xfId="0" applyNumberFormat="1" applyFont="1" applyFill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3" fillId="10" borderId="0" xfId="0" applyFont="1" applyFill="1" applyAlignment="1">
      <alignment/>
    </xf>
    <xf numFmtId="0" fontId="16" fillId="0" borderId="0" xfId="0" applyFont="1" applyAlignment="1">
      <alignment/>
    </xf>
    <xf numFmtId="165" fontId="13" fillId="10" borderId="0" xfId="0" applyNumberFormat="1" applyFont="1" applyFill="1" applyAlignment="1">
      <alignment horizontal="left" wrapText="1"/>
    </xf>
    <xf numFmtId="0" fontId="16" fillId="0" borderId="0" xfId="0" applyFont="1" applyAlignment="1">
      <alignment wrapText="1"/>
    </xf>
    <xf numFmtId="0" fontId="11" fillId="0" borderId="1" xfId="0" applyFont="1" applyBorder="1" applyAlignment="1">
      <alignment/>
    </xf>
    <xf numFmtId="0" fontId="10" fillId="1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1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10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vertical="top" wrapText="1"/>
    </xf>
    <xf numFmtId="0" fontId="11" fillId="1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1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8" fillId="8" borderId="0" xfId="0" applyFont="1" applyFill="1" applyAlignment="1">
      <alignment/>
    </xf>
    <xf numFmtId="0" fontId="19" fillId="0" borderId="0" xfId="0" applyFont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  <cellStyle name="Standard 2 2" xfId="21"/>
    <cellStyle name="Währung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Radio" checked="Checked" firstButton="1" fmlaLink="Steuerung!$A$19" noThreeD="1"/>
</file>

<file path=xl/ctrlProps/ctrlProp10.xml><?xml version="1.0" encoding="utf-8"?>
<formControlPr xmlns="http://schemas.microsoft.com/office/spreadsheetml/2009/9/main" objectType="GBox"/>
</file>

<file path=xl/ctrlProps/ctrlProp11.xml><?xml version="1.0" encoding="utf-8"?>
<formControlPr xmlns="http://schemas.microsoft.com/office/spreadsheetml/2009/9/main" objectType="Radio" firstButton="1" fmlaLink="$K$24" noThreeD="1"/>
</file>

<file path=xl/ctrlProps/ctrlProp12.xml><?xml version="1.0" encoding="utf-8"?>
<formControlPr xmlns="http://schemas.microsoft.com/office/spreadsheetml/2009/9/main" objectType="Radio" checked="Checked" noThreeD="1"/>
</file>

<file path=xl/ctrlProps/ctrlProp13.xml><?xml version="1.0" encoding="utf-8"?>
<formControlPr xmlns="http://schemas.microsoft.com/office/spreadsheetml/2009/9/main" objectType="Radio" checked="Checked" firstButton="1" fmlaLink="$K$24" noThreeD="1"/>
</file>

<file path=xl/ctrlProps/ctrlProp14.xml><?xml version="1.0" encoding="utf-8"?>
<formControlPr xmlns="http://schemas.microsoft.com/office/spreadsheetml/2009/9/main" objectType="Radio" noThreeD="1"/>
</file>

<file path=xl/ctrlProps/ctrlProp15.xml><?xml version="1.0" encoding="utf-8"?>
<formControlPr xmlns="http://schemas.microsoft.com/office/spreadsheetml/2009/9/main" objectType="Radio" checked="Checked" firstButton="1" fmlaLink="$K$24" noThreeD="1"/>
</file>

<file path=xl/ctrlProps/ctrlProp16.xml><?xml version="1.0" encoding="utf-8"?>
<formControlPr xmlns="http://schemas.microsoft.com/office/spreadsheetml/2009/9/main" objectType="Radio" noThreeD="1"/>
</file>

<file path=xl/ctrlProps/ctrlProp17.xml><?xml version="1.0" encoding="utf-8"?>
<formControlPr xmlns="http://schemas.microsoft.com/office/spreadsheetml/2009/9/main" objectType="Radio" checked="Checked" firstButton="1" fmlaLink="$K$24" noThreeD="1"/>
</file>

<file path=xl/ctrlProps/ctrlProp18.xml><?xml version="1.0" encoding="utf-8"?>
<formControlPr xmlns="http://schemas.microsoft.com/office/spreadsheetml/2009/9/main" objectType="Radio" noThreeD="1"/>
</file>

<file path=xl/ctrlProps/ctrlProp19.xml><?xml version="1.0" encoding="utf-8"?>
<formControlPr xmlns="http://schemas.microsoft.com/office/spreadsheetml/2009/9/main" objectType="Radio" firstButton="1" fmlaLink="$K$24" noThreeD="1"/>
</file>

<file path=xl/ctrlProps/ctrlProp2.xml><?xml version="1.0" encoding="utf-8"?>
<formControlPr xmlns="http://schemas.microsoft.com/office/spreadsheetml/2009/9/main" objectType="Radio" noThreeD="1"/>
</file>

<file path=xl/ctrlProps/ctrlProp20.xml><?xml version="1.0" encoding="utf-8"?>
<formControlPr xmlns="http://schemas.microsoft.com/office/spreadsheetml/2009/9/main" objectType="Radio" checked="Checked" noThreeD="1"/>
</file>

<file path=xl/ctrlProps/ctrlProp21.xml><?xml version="1.0" encoding="utf-8"?>
<formControlPr xmlns="http://schemas.microsoft.com/office/spreadsheetml/2009/9/main" objectType="Radio" firstButton="1" fmlaLink="$K$24" noThreeD="1"/>
</file>

<file path=xl/ctrlProps/ctrlProp22.xml><?xml version="1.0" encoding="utf-8"?>
<formControlPr xmlns="http://schemas.microsoft.com/office/spreadsheetml/2009/9/main" objectType="Radio" checked="Checked" noThreeD="1"/>
</file>

<file path=xl/ctrlProps/ctrlProp23.xml><?xml version="1.0" encoding="utf-8"?>
<formControlPr xmlns="http://schemas.microsoft.com/office/spreadsheetml/2009/9/main" objectType="Radio" firstButton="1" fmlaLink="$K$24" noThreeD="1"/>
</file>

<file path=xl/ctrlProps/ctrlProp24.xml><?xml version="1.0" encoding="utf-8"?>
<formControlPr xmlns="http://schemas.microsoft.com/office/spreadsheetml/2009/9/main" objectType="Radio" checked="Checked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checked="Checked" firstButton="1" fmlaLink="$J$12" noThreeD="1"/>
</file>

<file path=xl/ctrlProps/ctrlProp5.xml><?xml version="1.0" encoding="utf-8"?>
<formControlPr xmlns="http://schemas.microsoft.com/office/spreadsheetml/2009/9/main" objectType="GBox"/>
</file>

<file path=xl/ctrlProps/ctrlProp6.xml><?xml version="1.0" encoding="utf-8"?>
<formControlPr xmlns="http://schemas.microsoft.com/office/spreadsheetml/2009/9/main" objectType="Radio" noThreeD="1"/>
</file>

<file path=xl/ctrlProps/ctrlProp7.xml><?xml version="1.0" encoding="utf-8"?>
<formControlPr xmlns="http://schemas.microsoft.com/office/spreadsheetml/2009/9/main" objectType="Radio" noThreeD="1"/>
</file>

<file path=xl/ctrlProps/ctrlProp8.xml><?xml version="1.0" encoding="utf-8"?>
<formControlPr xmlns="http://schemas.microsoft.com/office/spreadsheetml/2009/9/main" objectType="Radio" noThreeD="1"/>
</file>

<file path=xl/ctrlProps/ctrlProp9.xml><?xml version="1.0" encoding="utf-8"?>
<formControlPr xmlns="http://schemas.microsoft.com/office/spreadsheetml/2009/9/main" objectType="Radio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Beruf und KV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114425" y="923925"/>
          <a:ext cx="443865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2</xdr:col>
      <xdr:colOff>66675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06680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771525</xdr:colOff>
      <xdr:row>1</xdr:row>
      <xdr:rowOff>19050</xdr:rowOff>
    </xdr:from>
    <xdr:to>
      <xdr:col>7</xdr:col>
      <xdr:colOff>942975</xdr:colOff>
      <xdr:row>4</xdr:row>
      <xdr:rowOff>19050</xdr:rowOff>
    </xdr:to>
    <xdr:pic>
      <xdr:nvPicPr>
        <xdr:cNvPr id="6" name="Grafik 5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8097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485900" y="923925"/>
          <a:ext cx="437197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4382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495300</xdr:colOff>
      <xdr:row>1</xdr:row>
      <xdr:rowOff>0</xdr:rowOff>
    </xdr:from>
    <xdr:to>
      <xdr:col>7</xdr:col>
      <xdr:colOff>771525</xdr:colOff>
      <xdr:row>4</xdr:row>
      <xdr:rowOff>0</xdr:rowOff>
    </xdr:to>
    <xdr:pic>
      <xdr:nvPicPr>
        <xdr:cNvPr id="6" name="Grafik 5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05325" y="16192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3</xdr:col>
      <xdr:colOff>638175</xdr:colOff>
      <xdr:row>31</xdr:row>
      <xdr:rowOff>180975</xdr:rowOff>
    </xdr:to>
    <xdr:sp macro="" textlink="">
      <xdr:nvSpPr>
        <xdr:cNvPr id="8" name="Rechteck 7">
          <a:hlinkClick r:id="rId2"/>
        </xdr:cNvPr>
        <xdr:cNvSpPr/>
      </xdr:nvSpPr>
      <xdr:spPr>
        <a:xfrm>
          <a:off x="952500" y="56197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2" name="Rectangle 187"/>
        <xdr:cNvSpPr>
          <a:spLocks noChangeArrowheads="1"/>
        </xdr:cNvSpPr>
      </xdr:nvSpPr>
      <xdr:spPr bwMode="auto">
        <a:xfrm>
          <a:off x="0" y="923925"/>
          <a:ext cx="15906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533400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3" name="Rectangle 186"/>
        <xdr:cNvSpPr>
          <a:spLocks noChangeArrowheads="1"/>
        </xdr:cNvSpPr>
      </xdr:nvSpPr>
      <xdr:spPr bwMode="auto">
        <a:xfrm>
          <a:off x="1638300" y="923925"/>
          <a:ext cx="487680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4" name="Rectangle 187"/>
        <xdr:cNvSpPr>
          <a:spLocks noChangeArrowheads="1"/>
        </xdr:cNvSpPr>
      </xdr:nvSpPr>
      <xdr:spPr bwMode="auto">
        <a:xfrm>
          <a:off x="0" y="923925"/>
          <a:ext cx="15906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600075</xdr:colOff>
      <xdr:row>1</xdr:row>
      <xdr:rowOff>28575</xdr:rowOff>
    </xdr:from>
    <xdr:to>
      <xdr:col>7</xdr:col>
      <xdr:colOff>1000125</xdr:colOff>
      <xdr:row>4</xdr:row>
      <xdr:rowOff>28575</xdr:rowOff>
    </xdr:to>
    <xdr:pic>
      <xdr:nvPicPr>
        <xdr:cNvPr id="9" name="Grafik 8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81600" y="19050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3</xdr:col>
      <xdr:colOff>190500</xdr:colOff>
      <xdr:row>37</xdr:row>
      <xdr:rowOff>180975</xdr:rowOff>
    </xdr:to>
    <xdr:sp macro="" textlink="">
      <xdr:nvSpPr>
        <xdr:cNvPr id="11" name="Rechteck 10">
          <a:hlinkClick r:id="rId2"/>
        </xdr:cNvPr>
        <xdr:cNvSpPr/>
      </xdr:nvSpPr>
      <xdr:spPr>
        <a:xfrm>
          <a:off x="1104900" y="61912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6</xdr:col>
      <xdr:colOff>981075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581150" y="923925"/>
          <a:ext cx="439102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53352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781050</xdr:colOff>
      <xdr:row>0</xdr:row>
      <xdr:rowOff>152400</xdr:rowOff>
    </xdr:from>
    <xdr:to>
      <xdr:col>6</xdr:col>
      <xdr:colOff>895350</xdr:colOff>
      <xdr:row>3</xdr:row>
      <xdr:rowOff>190500</xdr:rowOff>
    </xdr:to>
    <xdr:pic>
      <xdr:nvPicPr>
        <xdr:cNvPr id="6" name="Grafik 5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29150" y="15240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3</xdr:col>
      <xdr:colOff>409575</xdr:colOff>
      <xdr:row>41</xdr:row>
      <xdr:rowOff>180975</xdr:rowOff>
    </xdr:to>
    <xdr:sp macro="" textlink="">
      <xdr:nvSpPr>
        <xdr:cNvPr id="8" name="Rechteck 7">
          <a:hlinkClick r:id="rId2"/>
        </xdr:cNvPr>
        <xdr:cNvSpPr/>
      </xdr:nvSpPr>
      <xdr:spPr>
        <a:xfrm>
          <a:off x="1047750" y="731520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2" name="Rectangle 187"/>
        <xdr:cNvSpPr>
          <a:spLocks noChangeArrowheads="1"/>
        </xdr:cNvSpPr>
      </xdr:nvSpPr>
      <xdr:spPr bwMode="auto">
        <a:xfrm>
          <a:off x="0" y="923925"/>
          <a:ext cx="152400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533400</xdr:colOff>
      <xdr:row>4</xdr:row>
      <xdr:rowOff>142875</xdr:rowOff>
    </xdr:from>
    <xdr:to>
      <xdr:col>6</xdr:col>
      <xdr:colOff>1085850</xdr:colOff>
      <xdr:row>6</xdr:row>
      <xdr:rowOff>104775</xdr:rowOff>
    </xdr:to>
    <xdr:sp macro="" textlink="">
      <xdr:nvSpPr>
        <xdr:cNvPr id="3" name="Rectangle 186"/>
        <xdr:cNvSpPr>
          <a:spLocks noChangeArrowheads="1"/>
        </xdr:cNvSpPr>
      </xdr:nvSpPr>
      <xdr:spPr bwMode="auto">
        <a:xfrm>
          <a:off x="1571625" y="923925"/>
          <a:ext cx="451485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4" name="Rectangle 187"/>
        <xdr:cNvSpPr>
          <a:spLocks noChangeArrowheads="1"/>
        </xdr:cNvSpPr>
      </xdr:nvSpPr>
      <xdr:spPr bwMode="auto">
        <a:xfrm>
          <a:off x="0" y="923925"/>
          <a:ext cx="152400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866775</xdr:colOff>
      <xdr:row>0</xdr:row>
      <xdr:rowOff>152400</xdr:rowOff>
    </xdr:from>
    <xdr:to>
      <xdr:col>6</xdr:col>
      <xdr:colOff>1000125</xdr:colOff>
      <xdr:row>3</xdr:row>
      <xdr:rowOff>190500</xdr:rowOff>
    </xdr:to>
    <xdr:pic>
      <xdr:nvPicPr>
        <xdr:cNvPr id="7" name="Grafik 6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15240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3</xdr:col>
      <xdr:colOff>371475</xdr:colOff>
      <xdr:row>41</xdr:row>
      <xdr:rowOff>180975</xdr:rowOff>
    </xdr:to>
    <xdr:sp macro="" textlink="">
      <xdr:nvSpPr>
        <xdr:cNvPr id="9" name="Rechteck 8">
          <a:hlinkClick r:id="rId2"/>
        </xdr:cNvPr>
        <xdr:cNvSpPr/>
      </xdr:nvSpPr>
      <xdr:spPr>
        <a:xfrm>
          <a:off x="1038225" y="7286625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485900" y="923925"/>
          <a:ext cx="441007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4382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304800</xdr:colOff>
      <xdr:row>1</xdr:row>
      <xdr:rowOff>19050</xdr:rowOff>
    </xdr:from>
    <xdr:to>
      <xdr:col>7</xdr:col>
      <xdr:colOff>762000</xdr:colOff>
      <xdr:row>4</xdr:row>
      <xdr:rowOff>19050</xdr:rowOff>
    </xdr:to>
    <xdr:pic>
      <xdr:nvPicPr>
        <xdr:cNvPr id="6" name="Grafik 5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52950" y="18097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3</xdr:col>
      <xdr:colOff>571500</xdr:colOff>
      <xdr:row>30</xdr:row>
      <xdr:rowOff>180975</xdr:rowOff>
    </xdr:to>
    <xdr:sp macro="" textlink="">
      <xdr:nvSpPr>
        <xdr:cNvPr id="8" name="Rechteck 7">
          <a:hlinkClick r:id="rId2"/>
        </xdr:cNvPr>
        <xdr:cNvSpPr/>
      </xdr:nvSpPr>
      <xdr:spPr>
        <a:xfrm>
          <a:off x="952500" y="54292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2" name="Rectangle 187"/>
        <xdr:cNvSpPr>
          <a:spLocks noChangeArrowheads="1"/>
        </xdr:cNvSpPr>
      </xdr:nvSpPr>
      <xdr:spPr bwMode="auto">
        <a:xfrm>
          <a:off x="0" y="923925"/>
          <a:ext cx="146685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561975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3" name="Rectangle 186"/>
        <xdr:cNvSpPr>
          <a:spLocks noChangeArrowheads="1"/>
        </xdr:cNvSpPr>
      </xdr:nvSpPr>
      <xdr:spPr bwMode="auto">
        <a:xfrm>
          <a:off x="1543050" y="923925"/>
          <a:ext cx="478155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4" name="Rectangle 187"/>
        <xdr:cNvSpPr>
          <a:spLocks noChangeArrowheads="1"/>
        </xdr:cNvSpPr>
      </xdr:nvSpPr>
      <xdr:spPr bwMode="auto">
        <a:xfrm>
          <a:off x="0" y="923925"/>
          <a:ext cx="146685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428625</xdr:colOff>
      <xdr:row>1</xdr:row>
      <xdr:rowOff>38100</xdr:rowOff>
    </xdr:from>
    <xdr:to>
      <xdr:col>7</xdr:col>
      <xdr:colOff>914400</xdr:colOff>
      <xdr:row>4</xdr:row>
      <xdr:rowOff>38100</xdr:rowOff>
    </xdr:to>
    <xdr:pic>
      <xdr:nvPicPr>
        <xdr:cNvPr id="9" name="Grafik 8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72050" y="20002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3</xdr:col>
      <xdr:colOff>180975</xdr:colOff>
      <xdr:row>37</xdr:row>
      <xdr:rowOff>180975</xdr:rowOff>
    </xdr:to>
    <xdr:sp macro="" textlink="">
      <xdr:nvSpPr>
        <xdr:cNvPr id="11" name="Rechteck 10">
          <a:hlinkClick r:id="rId2"/>
        </xdr:cNvPr>
        <xdr:cNvSpPr/>
      </xdr:nvSpPr>
      <xdr:spPr>
        <a:xfrm>
          <a:off x="981075" y="67627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552575" y="923925"/>
          <a:ext cx="446722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50495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361950</xdr:colOff>
      <xdr:row>1</xdr:row>
      <xdr:rowOff>0</xdr:rowOff>
    </xdr:from>
    <xdr:to>
      <xdr:col>7</xdr:col>
      <xdr:colOff>819150</xdr:colOff>
      <xdr:row>4</xdr:row>
      <xdr:rowOff>0</xdr:rowOff>
    </xdr:to>
    <xdr:pic>
      <xdr:nvPicPr>
        <xdr:cNvPr id="6" name="Grafik 5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0" y="16192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3</xdr:col>
      <xdr:colOff>571500</xdr:colOff>
      <xdr:row>30</xdr:row>
      <xdr:rowOff>180975</xdr:rowOff>
    </xdr:to>
    <xdr:sp macro="" textlink="">
      <xdr:nvSpPr>
        <xdr:cNvPr id="8" name="Rechteck 7">
          <a:hlinkClick r:id="rId2"/>
        </xdr:cNvPr>
        <xdr:cNvSpPr/>
      </xdr:nvSpPr>
      <xdr:spPr>
        <a:xfrm>
          <a:off x="1019175" y="54292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2" name="Rectangle 187"/>
        <xdr:cNvSpPr>
          <a:spLocks noChangeArrowheads="1"/>
        </xdr:cNvSpPr>
      </xdr:nvSpPr>
      <xdr:spPr bwMode="auto">
        <a:xfrm>
          <a:off x="0" y="923925"/>
          <a:ext cx="15144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561975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3" name="Rectangle 186"/>
        <xdr:cNvSpPr>
          <a:spLocks noChangeArrowheads="1"/>
        </xdr:cNvSpPr>
      </xdr:nvSpPr>
      <xdr:spPr bwMode="auto">
        <a:xfrm>
          <a:off x="1590675" y="923925"/>
          <a:ext cx="481012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4" name="Rectangle 187"/>
        <xdr:cNvSpPr>
          <a:spLocks noChangeArrowheads="1"/>
        </xdr:cNvSpPr>
      </xdr:nvSpPr>
      <xdr:spPr bwMode="auto">
        <a:xfrm>
          <a:off x="0" y="923925"/>
          <a:ext cx="15144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466725</xdr:colOff>
      <xdr:row>1</xdr:row>
      <xdr:rowOff>19050</xdr:rowOff>
    </xdr:from>
    <xdr:to>
      <xdr:col>7</xdr:col>
      <xdr:colOff>952500</xdr:colOff>
      <xdr:row>4</xdr:row>
      <xdr:rowOff>19050</xdr:rowOff>
    </xdr:to>
    <xdr:pic>
      <xdr:nvPicPr>
        <xdr:cNvPr id="9" name="Grafik 8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57775" y="18097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3</xdr:col>
      <xdr:colOff>180975</xdr:colOff>
      <xdr:row>37</xdr:row>
      <xdr:rowOff>180975</xdr:rowOff>
    </xdr:to>
    <xdr:sp macro="" textlink="">
      <xdr:nvSpPr>
        <xdr:cNvPr id="11" name="Rechteck 10">
          <a:hlinkClick r:id="rId2"/>
        </xdr:cNvPr>
        <xdr:cNvSpPr/>
      </xdr:nvSpPr>
      <xdr:spPr>
        <a:xfrm>
          <a:off x="1028700" y="67627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7</xdr:col>
      <xdr:colOff>1181100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609725" y="923925"/>
          <a:ext cx="467677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56210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628650</xdr:colOff>
      <xdr:row>0</xdr:row>
      <xdr:rowOff>152400</xdr:rowOff>
    </xdr:from>
    <xdr:to>
      <xdr:col>7</xdr:col>
      <xdr:colOff>1114425</xdr:colOff>
      <xdr:row>3</xdr:row>
      <xdr:rowOff>190500</xdr:rowOff>
    </xdr:to>
    <xdr:pic>
      <xdr:nvPicPr>
        <xdr:cNvPr id="6" name="Grafik 5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62525" y="15240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3</xdr:col>
      <xdr:colOff>571500</xdr:colOff>
      <xdr:row>30</xdr:row>
      <xdr:rowOff>180975</xdr:rowOff>
    </xdr:to>
    <xdr:sp macro="" textlink="">
      <xdr:nvSpPr>
        <xdr:cNvPr id="8" name="Rechteck 7">
          <a:hlinkClick r:id="rId2"/>
        </xdr:cNvPr>
        <xdr:cNvSpPr/>
      </xdr:nvSpPr>
      <xdr:spPr>
        <a:xfrm>
          <a:off x="1076325" y="54292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2" name="Rectangle 187"/>
        <xdr:cNvSpPr>
          <a:spLocks noChangeArrowheads="1"/>
        </xdr:cNvSpPr>
      </xdr:nvSpPr>
      <xdr:spPr bwMode="auto">
        <a:xfrm>
          <a:off x="0" y="923925"/>
          <a:ext cx="149542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561975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3" name="Rectangle 186"/>
        <xdr:cNvSpPr>
          <a:spLocks noChangeArrowheads="1"/>
        </xdr:cNvSpPr>
      </xdr:nvSpPr>
      <xdr:spPr bwMode="auto">
        <a:xfrm>
          <a:off x="1571625" y="923925"/>
          <a:ext cx="485775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4" name="Rectangle 187"/>
        <xdr:cNvSpPr>
          <a:spLocks noChangeArrowheads="1"/>
        </xdr:cNvSpPr>
      </xdr:nvSpPr>
      <xdr:spPr bwMode="auto">
        <a:xfrm>
          <a:off x="0" y="923925"/>
          <a:ext cx="149542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504825</xdr:colOff>
      <xdr:row>1</xdr:row>
      <xdr:rowOff>0</xdr:rowOff>
    </xdr:from>
    <xdr:to>
      <xdr:col>7</xdr:col>
      <xdr:colOff>990600</xdr:colOff>
      <xdr:row>4</xdr:row>
      <xdr:rowOff>0</xdr:rowOff>
    </xdr:to>
    <xdr:pic>
      <xdr:nvPicPr>
        <xdr:cNvPr id="9" name="Grafik 8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76825" y="16192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3</xdr:col>
      <xdr:colOff>180975</xdr:colOff>
      <xdr:row>37</xdr:row>
      <xdr:rowOff>180975</xdr:rowOff>
    </xdr:to>
    <xdr:sp macro="" textlink="">
      <xdr:nvSpPr>
        <xdr:cNvPr id="11" name="Rechteck 10">
          <a:hlinkClick r:id="rId2"/>
        </xdr:cNvPr>
        <xdr:cNvSpPr/>
      </xdr:nvSpPr>
      <xdr:spPr>
        <a:xfrm>
          <a:off x="1009650" y="67627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7</xdr:col>
      <xdr:colOff>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524000" y="923925"/>
          <a:ext cx="451485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4763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819150</xdr:colOff>
      <xdr:row>1</xdr:row>
      <xdr:rowOff>9525</xdr:rowOff>
    </xdr:from>
    <xdr:to>
      <xdr:col>6</xdr:col>
      <xdr:colOff>1095375</xdr:colOff>
      <xdr:row>4</xdr:row>
      <xdr:rowOff>9525</xdr:rowOff>
    </xdr:to>
    <xdr:pic>
      <xdr:nvPicPr>
        <xdr:cNvPr id="7" name="Grafik 6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6300" y="17145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40</xdr:row>
      <xdr:rowOff>142875</xdr:rowOff>
    </xdr:from>
    <xdr:to>
      <xdr:col>3</xdr:col>
      <xdr:colOff>523875</xdr:colOff>
      <xdr:row>42</xdr:row>
      <xdr:rowOff>133350</xdr:rowOff>
    </xdr:to>
    <xdr:sp macro="" textlink="">
      <xdr:nvSpPr>
        <xdr:cNvPr id="4" name="Rechteck 3">
          <a:hlinkClick r:id="rId2"/>
        </xdr:cNvPr>
        <xdr:cNvSpPr/>
      </xdr:nvSpPr>
      <xdr:spPr>
        <a:xfrm>
          <a:off x="1000125" y="7458075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50495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533400</xdr:colOff>
      <xdr:row>4</xdr:row>
      <xdr:rowOff>142875</xdr:rowOff>
    </xdr:from>
    <xdr:to>
      <xdr:col>7</xdr:col>
      <xdr:colOff>0</xdr:colOff>
      <xdr:row>6</xdr:row>
      <xdr:rowOff>104775</xdr:rowOff>
    </xdr:to>
    <xdr:sp macro="" textlink="">
      <xdr:nvSpPr>
        <xdr:cNvPr id="5" name="Rectangle 186"/>
        <xdr:cNvSpPr>
          <a:spLocks noChangeArrowheads="1"/>
        </xdr:cNvSpPr>
      </xdr:nvSpPr>
      <xdr:spPr bwMode="auto">
        <a:xfrm>
          <a:off x="1552575" y="923925"/>
          <a:ext cx="517207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6" name="Rectangle 187"/>
        <xdr:cNvSpPr>
          <a:spLocks noChangeArrowheads="1"/>
        </xdr:cNvSpPr>
      </xdr:nvSpPr>
      <xdr:spPr bwMode="auto">
        <a:xfrm>
          <a:off x="0" y="923925"/>
          <a:ext cx="150495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171450</xdr:colOff>
      <xdr:row>1</xdr:row>
      <xdr:rowOff>28575</xdr:rowOff>
    </xdr:from>
    <xdr:to>
      <xdr:col>6</xdr:col>
      <xdr:colOff>1428750</xdr:colOff>
      <xdr:row>4</xdr:row>
      <xdr:rowOff>28575</xdr:rowOff>
    </xdr:to>
    <xdr:pic>
      <xdr:nvPicPr>
        <xdr:cNvPr id="8" name="Grafik 7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67300" y="19050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42</xdr:row>
      <xdr:rowOff>47625</xdr:rowOff>
    </xdr:from>
    <xdr:to>
      <xdr:col>3</xdr:col>
      <xdr:colOff>514350</xdr:colOff>
      <xdr:row>44</xdr:row>
      <xdr:rowOff>95250</xdr:rowOff>
    </xdr:to>
    <xdr:sp macro="" textlink="">
      <xdr:nvSpPr>
        <xdr:cNvPr id="7" name="Rechteck 6">
          <a:hlinkClick r:id="rId2"/>
        </xdr:cNvPr>
        <xdr:cNvSpPr/>
      </xdr:nvSpPr>
      <xdr:spPr>
        <a:xfrm>
          <a:off x="1019175" y="6257925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562100" y="923925"/>
          <a:ext cx="491490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5144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866775</xdr:colOff>
      <xdr:row>1</xdr:row>
      <xdr:rowOff>19050</xdr:rowOff>
    </xdr:from>
    <xdr:to>
      <xdr:col>7</xdr:col>
      <xdr:colOff>1219200</xdr:colOff>
      <xdr:row>4</xdr:row>
      <xdr:rowOff>19050</xdr:rowOff>
    </xdr:to>
    <xdr:pic>
      <xdr:nvPicPr>
        <xdr:cNvPr id="6" name="Grafik 5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33975" y="18097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3</xdr:col>
      <xdr:colOff>400050</xdr:colOff>
      <xdr:row>30</xdr:row>
      <xdr:rowOff>180975</xdr:rowOff>
    </xdr:to>
    <xdr:sp macro="" textlink="">
      <xdr:nvSpPr>
        <xdr:cNvPr id="8" name="Rechteck 7">
          <a:hlinkClick r:id="rId2"/>
        </xdr:cNvPr>
        <xdr:cNvSpPr/>
      </xdr:nvSpPr>
      <xdr:spPr>
        <a:xfrm>
          <a:off x="1028700" y="54292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2" name="Rectangle 187"/>
        <xdr:cNvSpPr>
          <a:spLocks noChangeArrowheads="1"/>
        </xdr:cNvSpPr>
      </xdr:nvSpPr>
      <xdr:spPr bwMode="auto">
        <a:xfrm>
          <a:off x="0" y="923925"/>
          <a:ext cx="15525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561975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3" name="Rectangle 186"/>
        <xdr:cNvSpPr>
          <a:spLocks noChangeArrowheads="1"/>
        </xdr:cNvSpPr>
      </xdr:nvSpPr>
      <xdr:spPr bwMode="auto">
        <a:xfrm>
          <a:off x="1628775" y="923925"/>
          <a:ext cx="475297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4" name="Rectangle 187"/>
        <xdr:cNvSpPr>
          <a:spLocks noChangeArrowheads="1"/>
        </xdr:cNvSpPr>
      </xdr:nvSpPr>
      <xdr:spPr bwMode="auto">
        <a:xfrm>
          <a:off x="0" y="923925"/>
          <a:ext cx="155257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428625</xdr:colOff>
      <xdr:row>1</xdr:row>
      <xdr:rowOff>19050</xdr:rowOff>
    </xdr:from>
    <xdr:to>
      <xdr:col>7</xdr:col>
      <xdr:colOff>914400</xdr:colOff>
      <xdr:row>4</xdr:row>
      <xdr:rowOff>19050</xdr:rowOff>
    </xdr:to>
    <xdr:pic>
      <xdr:nvPicPr>
        <xdr:cNvPr id="9" name="Grafik 8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18097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3</xdr:col>
      <xdr:colOff>209550</xdr:colOff>
      <xdr:row>37</xdr:row>
      <xdr:rowOff>180975</xdr:rowOff>
    </xdr:to>
    <xdr:sp macro="" textlink="">
      <xdr:nvSpPr>
        <xdr:cNvPr id="10" name="Rechteck 9">
          <a:hlinkClick r:id="rId2"/>
        </xdr:cNvPr>
        <xdr:cNvSpPr/>
      </xdr:nvSpPr>
      <xdr:spPr>
        <a:xfrm>
          <a:off x="1066800" y="61912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514475" y="923925"/>
          <a:ext cx="461010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46685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609600</xdr:colOff>
      <xdr:row>0</xdr:row>
      <xdr:rowOff>152400</xdr:rowOff>
    </xdr:from>
    <xdr:to>
      <xdr:col>7</xdr:col>
      <xdr:colOff>942975</xdr:colOff>
      <xdr:row>3</xdr:row>
      <xdr:rowOff>133350</xdr:rowOff>
    </xdr:to>
    <xdr:pic>
      <xdr:nvPicPr>
        <xdr:cNvPr id="7" name="Grafik 6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81550" y="152400"/>
          <a:ext cx="1257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3</xdr:col>
      <xdr:colOff>638175</xdr:colOff>
      <xdr:row>31</xdr:row>
      <xdr:rowOff>171450</xdr:rowOff>
    </xdr:to>
    <xdr:sp macro="" textlink="">
      <xdr:nvSpPr>
        <xdr:cNvPr id="6" name="Rechteck 5">
          <a:hlinkClick r:id="rId2"/>
        </xdr:cNvPr>
        <xdr:cNvSpPr/>
      </xdr:nvSpPr>
      <xdr:spPr>
        <a:xfrm>
          <a:off x="981075" y="5629275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2" name="Rectangle 187"/>
        <xdr:cNvSpPr>
          <a:spLocks noChangeArrowheads="1"/>
        </xdr:cNvSpPr>
      </xdr:nvSpPr>
      <xdr:spPr bwMode="auto">
        <a:xfrm>
          <a:off x="0" y="923925"/>
          <a:ext cx="158115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542925</xdr:colOff>
      <xdr:row>4</xdr:row>
      <xdr:rowOff>142875</xdr:rowOff>
    </xdr:from>
    <xdr:to>
      <xdr:col>7</xdr:col>
      <xdr:colOff>752475</xdr:colOff>
      <xdr:row>6</xdr:row>
      <xdr:rowOff>104775</xdr:rowOff>
    </xdr:to>
    <xdr:sp macro="" textlink="">
      <xdr:nvSpPr>
        <xdr:cNvPr id="3" name="Rectangle 186"/>
        <xdr:cNvSpPr>
          <a:spLocks noChangeArrowheads="1"/>
        </xdr:cNvSpPr>
      </xdr:nvSpPr>
      <xdr:spPr bwMode="auto">
        <a:xfrm>
          <a:off x="1638300" y="923925"/>
          <a:ext cx="480060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4" name="Rectangle 187"/>
        <xdr:cNvSpPr>
          <a:spLocks noChangeArrowheads="1"/>
        </xdr:cNvSpPr>
      </xdr:nvSpPr>
      <xdr:spPr bwMode="auto">
        <a:xfrm>
          <a:off x="0" y="923925"/>
          <a:ext cx="158115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390525</xdr:colOff>
      <xdr:row>1</xdr:row>
      <xdr:rowOff>19050</xdr:rowOff>
    </xdr:from>
    <xdr:to>
      <xdr:col>7</xdr:col>
      <xdr:colOff>657225</xdr:colOff>
      <xdr:row>4</xdr:row>
      <xdr:rowOff>19050</xdr:rowOff>
    </xdr:to>
    <xdr:pic>
      <xdr:nvPicPr>
        <xdr:cNvPr id="9" name="Grafik 8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86350" y="18097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3</xdr:col>
      <xdr:colOff>152400</xdr:colOff>
      <xdr:row>37</xdr:row>
      <xdr:rowOff>180975</xdr:rowOff>
    </xdr:to>
    <xdr:sp macro="" textlink="">
      <xdr:nvSpPr>
        <xdr:cNvPr id="11" name="Rechteck 10">
          <a:hlinkClick r:id="rId2"/>
        </xdr:cNvPr>
        <xdr:cNvSpPr/>
      </xdr:nvSpPr>
      <xdr:spPr>
        <a:xfrm>
          <a:off x="1095375" y="61912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142875</xdr:rowOff>
    </xdr:from>
    <xdr:to>
      <xdr:col>8</xdr:col>
      <xdr:colOff>0</xdr:colOff>
      <xdr:row>6</xdr:row>
      <xdr:rowOff>104775</xdr:rowOff>
    </xdr:to>
    <xdr:sp macro="" textlink="">
      <xdr:nvSpPr>
        <xdr:cNvPr id="2" name="Rectangle 186"/>
        <xdr:cNvSpPr>
          <a:spLocks noChangeArrowheads="1"/>
        </xdr:cNvSpPr>
      </xdr:nvSpPr>
      <xdr:spPr bwMode="auto">
        <a:xfrm>
          <a:off x="1533525" y="923925"/>
          <a:ext cx="4371975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3" name="Rectangle 187"/>
        <xdr:cNvSpPr>
          <a:spLocks noChangeArrowheads="1"/>
        </xdr:cNvSpPr>
      </xdr:nvSpPr>
      <xdr:spPr bwMode="auto">
        <a:xfrm>
          <a:off x="0" y="923925"/>
          <a:ext cx="1485900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542925</xdr:colOff>
      <xdr:row>1</xdr:row>
      <xdr:rowOff>28575</xdr:rowOff>
    </xdr:from>
    <xdr:to>
      <xdr:col>7</xdr:col>
      <xdr:colOff>714375</xdr:colOff>
      <xdr:row>4</xdr:row>
      <xdr:rowOff>28575</xdr:rowOff>
    </xdr:to>
    <xdr:pic>
      <xdr:nvPicPr>
        <xdr:cNvPr id="6" name="Grafik 5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52950" y="19050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3</xdr:col>
      <xdr:colOff>638175</xdr:colOff>
      <xdr:row>31</xdr:row>
      <xdr:rowOff>180975</xdr:rowOff>
    </xdr:to>
    <xdr:sp macro="" textlink="">
      <xdr:nvSpPr>
        <xdr:cNvPr id="8" name="Rechteck 7">
          <a:hlinkClick r:id="rId2"/>
        </xdr:cNvPr>
        <xdr:cNvSpPr/>
      </xdr:nvSpPr>
      <xdr:spPr>
        <a:xfrm>
          <a:off x="1000125" y="56197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2" name="Rectangle 187"/>
        <xdr:cNvSpPr>
          <a:spLocks noChangeArrowheads="1"/>
        </xdr:cNvSpPr>
      </xdr:nvSpPr>
      <xdr:spPr bwMode="auto">
        <a:xfrm>
          <a:off x="0" y="923925"/>
          <a:ext cx="157162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533400</xdr:colOff>
      <xdr:row>4</xdr:row>
      <xdr:rowOff>142875</xdr:rowOff>
    </xdr:from>
    <xdr:to>
      <xdr:col>7</xdr:col>
      <xdr:colOff>752475</xdr:colOff>
      <xdr:row>6</xdr:row>
      <xdr:rowOff>104775</xdr:rowOff>
    </xdr:to>
    <xdr:sp macro="" textlink="">
      <xdr:nvSpPr>
        <xdr:cNvPr id="3" name="Rectangle 186"/>
        <xdr:cNvSpPr>
          <a:spLocks noChangeArrowheads="1"/>
        </xdr:cNvSpPr>
      </xdr:nvSpPr>
      <xdr:spPr bwMode="auto">
        <a:xfrm>
          <a:off x="1619250" y="923925"/>
          <a:ext cx="4476750" cy="285750"/>
        </a:xfrm>
        <a:prstGeom prst="rect">
          <a:avLst/>
        </a:prstGeom>
        <a:solidFill>
          <a:srgbClr val="E23E21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</xdr:row>
      <xdr:rowOff>142875</xdr:rowOff>
    </xdr:from>
    <xdr:to>
      <xdr:col>1</xdr:col>
      <xdr:colOff>485775</xdr:colOff>
      <xdr:row>6</xdr:row>
      <xdr:rowOff>104775</xdr:rowOff>
    </xdr:to>
    <xdr:sp macro="" textlink="">
      <xdr:nvSpPr>
        <xdr:cNvPr id="4" name="Rectangle 187"/>
        <xdr:cNvSpPr>
          <a:spLocks noChangeArrowheads="1"/>
        </xdr:cNvSpPr>
      </xdr:nvSpPr>
      <xdr:spPr bwMode="auto">
        <a:xfrm>
          <a:off x="0" y="923925"/>
          <a:ext cx="1571625" cy="285750"/>
        </a:xfrm>
        <a:prstGeom prst="rect">
          <a:avLst/>
        </a:prstGeom>
        <a:solidFill>
          <a:srgbClr val="B11A3B"/>
        </a:solidFill>
        <a:ln>
          <a:noFill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190500</xdr:colOff>
      <xdr:row>1</xdr:row>
      <xdr:rowOff>9525</xdr:rowOff>
    </xdr:from>
    <xdr:to>
      <xdr:col>7</xdr:col>
      <xdr:colOff>676275</xdr:colOff>
      <xdr:row>4</xdr:row>
      <xdr:rowOff>9525</xdr:rowOff>
    </xdr:to>
    <xdr:pic>
      <xdr:nvPicPr>
        <xdr:cNvPr id="9" name="Grafik 8" descr="http://www.google.de/url?source=imgres&amp;ct=tbn&amp;q=http://www.krankenversicherungs-angebot1.de/hallesche-nationale/images/hallesche.gif&amp;sa=X&amp;ei=d7NuVar5HsWC7gaGlYHQBA&amp;ved=0CAUQ8wc&amp;usg=AFQjCNGq4cMnRaK4Y_MQoPx3Zf1EtMNOy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0" y="17145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3</xdr:col>
      <xdr:colOff>180975</xdr:colOff>
      <xdr:row>37</xdr:row>
      <xdr:rowOff>180975</xdr:rowOff>
    </xdr:to>
    <xdr:sp macro="" textlink="">
      <xdr:nvSpPr>
        <xdr:cNvPr id="11" name="Rechteck 10">
          <a:hlinkClick r:id="rId2"/>
        </xdr:cNvPr>
        <xdr:cNvSpPr/>
      </xdr:nvSpPr>
      <xdr:spPr>
        <a:xfrm>
          <a:off x="1085850" y="6191250"/>
          <a:ext cx="1581150" cy="371475"/>
        </a:xfrm>
        <a:prstGeom prst="rect">
          <a:avLst/>
        </a:prstGeom>
        <a:solidFill>
          <a:srgbClr val="77C3D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Times New Roman" panose="02020603050405020304" pitchFamily="18" charset="0"/>
              <a:cs typeface="Times New Roman" panose="02020603050405020304" pitchFamily="18" charset="0"/>
            </a:rPr>
            <a:t>zurück</a:t>
          </a:r>
          <a:endParaRPr lang="de-DE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i07337\AppData\Local\Microsoft\Windows\INetCache\Content.Outlook\V5MLG87G\Beitraege%20Gruppe%20Januar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K"/>
      <sheetName val="KS"/>
      <sheetName val="SB NK, KS, PRIMO Z, MAS"/>
      <sheetName val="FKT, KT, MKT, KTAR"/>
      <sheetName val="PPV, OLGAflex, FÖRDERbar."/>
    </sheetNames>
    <sheetDataSet>
      <sheetData sheetId="0" refreshError="1"/>
      <sheetData sheetId="1" refreshError="1"/>
      <sheetData sheetId="2" refreshError="1"/>
      <sheetData sheetId="3">
        <row r="7">
          <cell r="D7">
            <v>2.11</v>
          </cell>
          <cell r="E7">
            <v>1.6</v>
          </cell>
        </row>
        <row r="8">
          <cell r="D8">
            <v>2.17</v>
          </cell>
          <cell r="E8">
            <v>1.64</v>
          </cell>
        </row>
        <row r="9">
          <cell r="D9">
            <v>2.23</v>
          </cell>
          <cell r="E9">
            <v>1.69</v>
          </cell>
        </row>
        <row r="10">
          <cell r="D10">
            <v>2.29</v>
          </cell>
          <cell r="E10">
            <v>1.73</v>
          </cell>
        </row>
        <row r="11">
          <cell r="D11">
            <v>2.35</v>
          </cell>
          <cell r="E11">
            <v>1.78</v>
          </cell>
        </row>
        <row r="12">
          <cell r="D12">
            <v>2.42</v>
          </cell>
          <cell r="E12">
            <v>1.83</v>
          </cell>
        </row>
        <row r="13">
          <cell r="D13">
            <v>2.49</v>
          </cell>
          <cell r="E13">
            <v>1.88</v>
          </cell>
        </row>
        <row r="14">
          <cell r="D14">
            <v>2.56</v>
          </cell>
          <cell r="E14">
            <v>1.93</v>
          </cell>
        </row>
        <row r="15">
          <cell r="D15">
            <v>2.63</v>
          </cell>
          <cell r="E15">
            <v>1.99</v>
          </cell>
        </row>
        <row r="16">
          <cell r="D16">
            <v>2.71</v>
          </cell>
          <cell r="E16">
            <v>2.04</v>
          </cell>
        </row>
        <row r="17">
          <cell r="D17">
            <v>2.79</v>
          </cell>
          <cell r="E17">
            <v>2.1</v>
          </cell>
        </row>
        <row r="18">
          <cell r="D18">
            <v>2.88</v>
          </cell>
          <cell r="E18">
            <v>2.16</v>
          </cell>
        </row>
        <row r="19">
          <cell r="D19">
            <v>2.96</v>
          </cell>
          <cell r="E19">
            <v>2.23</v>
          </cell>
        </row>
        <row r="20">
          <cell r="D20">
            <v>3.05</v>
          </cell>
          <cell r="E20">
            <v>2.29</v>
          </cell>
        </row>
        <row r="21">
          <cell r="D21">
            <v>3.14</v>
          </cell>
          <cell r="E21">
            <v>2.36</v>
          </cell>
        </row>
        <row r="22">
          <cell r="D22">
            <v>3.24</v>
          </cell>
          <cell r="E22">
            <v>2.43</v>
          </cell>
        </row>
        <row r="23">
          <cell r="D23">
            <v>3.34</v>
          </cell>
          <cell r="E23">
            <v>2.5</v>
          </cell>
        </row>
        <row r="24">
          <cell r="D24">
            <v>3.44</v>
          </cell>
          <cell r="E24">
            <v>2.58</v>
          </cell>
        </row>
        <row r="25">
          <cell r="D25">
            <v>3.55</v>
          </cell>
          <cell r="E25">
            <v>2.65</v>
          </cell>
        </row>
        <row r="26">
          <cell r="D26">
            <v>3.65</v>
          </cell>
          <cell r="E26">
            <v>2.73</v>
          </cell>
        </row>
        <row r="27">
          <cell r="D27">
            <v>3.76</v>
          </cell>
          <cell r="E27">
            <v>2.81</v>
          </cell>
        </row>
        <row r="28">
          <cell r="D28">
            <v>3.87</v>
          </cell>
          <cell r="E28">
            <v>2.89</v>
          </cell>
        </row>
        <row r="29">
          <cell r="D29">
            <v>3.99</v>
          </cell>
          <cell r="E29">
            <v>2.97</v>
          </cell>
        </row>
        <row r="30">
          <cell r="D30">
            <v>4.1</v>
          </cell>
          <cell r="E30">
            <v>3.06</v>
          </cell>
        </row>
        <row r="31">
          <cell r="D31">
            <v>4.22</v>
          </cell>
          <cell r="E31">
            <v>3.14</v>
          </cell>
        </row>
        <row r="32">
          <cell r="D32">
            <v>4.34</v>
          </cell>
          <cell r="E32">
            <v>3.23</v>
          </cell>
        </row>
        <row r="33">
          <cell r="D33">
            <v>4.46</v>
          </cell>
          <cell r="E33">
            <v>3.32</v>
          </cell>
        </row>
        <row r="34">
          <cell r="D34">
            <v>4.59</v>
          </cell>
          <cell r="E34">
            <v>3.41</v>
          </cell>
        </row>
        <row r="35">
          <cell r="D35">
            <v>4.71</v>
          </cell>
          <cell r="E35">
            <v>3.5</v>
          </cell>
        </row>
        <row r="36">
          <cell r="D36">
            <v>4.84</v>
          </cell>
          <cell r="E36">
            <v>3.59</v>
          </cell>
        </row>
        <row r="37">
          <cell r="D37">
            <v>4.97</v>
          </cell>
          <cell r="E37">
            <v>3.69</v>
          </cell>
        </row>
        <row r="38">
          <cell r="D38">
            <v>5.1</v>
          </cell>
          <cell r="E38">
            <v>3.78</v>
          </cell>
        </row>
        <row r="39">
          <cell r="D39">
            <v>5.23</v>
          </cell>
          <cell r="E39">
            <v>3.88</v>
          </cell>
        </row>
        <row r="40">
          <cell r="D40">
            <v>5.36</v>
          </cell>
          <cell r="E40">
            <v>3.97</v>
          </cell>
        </row>
        <row r="41">
          <cell r="D41">
            <v>5.5</v>
          </cell>
          <cell r="E41">
            <v>4.07</v>
          </cell>
        </row>
        <row r="42">
          <cell r="D42">
            <v>5.63</v>
          </cell>
          <cell r="E42">
            <v>4.17</v>
          </cell>
        </row>
        <row r="43">
          <cell r="D43">
            <v>5.77</v>
          </cell>
          <cell r="E43">
            <v>4.27</v>
          </cell>
        </row>
        <row r="44">
          <cell r="D44">
            <v>5.91</v>
          </cell>
          <cell r="E44">
            <v>4.37</v>
          </cell>
        </row>
        <row r="45">
          <cell r="D45">
            <v>6.05</v>
          </cell>
          <cell r="E45">
            <v>4.47</v>
          </cell>
        </row>
        <row r="46">
          <cell r="D46">
            <v>6.19</v>
          </cell>
          <cell r="E46">
            <v>4.58</v>
          </cell>
        </row>
        <row r="47">
          <cell r="D47">
            <v>6.33</v>
          </cell>
          <cell r="E47">
            <v>4.68</v>
          </cell>
        </row>
        <row r="48">
          <cell r="D48">
            <v>6.47</v>
          </cell>
          <cell r="E48">
            <v>4.78</v>
          </cell>
        </row>
        <row r="49">
          <cell r="D49">
            <v>6.61</v>
          </cell>
          <cell r="E49">
            <v>4.88</v>
          </cell>
        </row>
        <row r="50">
          <cell r="D50">
            <v>6.74</v>
          </cell>
          <cell r="E50">
            <v>4.98</v>
          </cell>
        </row>
        <row r="51">
          <cell r="D51">
            <v>6.77</v>
          </cell>
          <cell r="E51">
            <v>4.99</v>
          </cell>
        </row>
        <row r="52">
          <cell r="D52">
            <v>6.78</v>
          </cell>
          <cell r="E52">
            <v>5</v>
          </cell>
        </row>
        <row r="53">
          <cell r="D53">
            <v>6.78</v>
          </cell>
          <cell r="E53">
            <v>5</v>
          </cell>
        </row>
        <row r="54">
          <cell r="D54">
            <v>6.79</v>
          </cell>
          <cell r="E54">
            <v>5.01</v>
          </cell>
        </row>
        <row r="55">
          <cell r="D55">
            <v>6.79</v>
          </cell>
          <cell r="E55">
            <v>5.01</v>
          </cell>
        </row>
        <row r="56">
          <cell r="D56">
            <v>6.79</v>
          </cell>
          <cell r="E56">
            <v>5.01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3.xml" /><Relationship Id="rId13" Type="http://schemas.openxmlformats.org/officeDocument/2006/relationships/ctrlProp" Target="../ctrlProps/ctrlProp8.xml" /><Relationship Id="rId6" Type="http://schemas.openxmlformats.org/officeDocument/2006/relationships/ctrlProp" Target="../ctrlProps/ctrlProp1.xml" /><Relationship Id="rId14" Type="http://schemas.openxmlformats.org/officeDocument/2006/relationships/ctrlProp" Target="../ctrlProps/ctrlProp9.xml" /><Relationship Id="rId10" Type="http://schemas.openxmlformats.org/officeDocument/2006/relationships/ctrlProp" Target="../ctrlProps/ctrlProp5.xml" /><Relationship Id="rId11" Type="http://schemas.openxmlformats.org/officeDocument/2006/relationships/ctrlProp" Target="../ctrlProps/ctrlProp6.xml" /><Relationship Id="rId12" Type="http://schemas.openxmlformats.org/officeDocument/2006/relationships/ctrlProp" Target="../ctrlProps/ctrlProp7.xml" /><Relationship Id="rId7" Type="http://schemas.openxmlformats.org/officeDocument/2006/relationships/ctrlProp" Target="../ctrlProps/ctrlProp2.xml" /><Relationship Id="rId15" Type="http://schemas.openxmlformats.org/officeDocument/2006/relationships/ctrlProp" Target="../ctrlProps/ctrlProp10.xml" /><Relationship Id="rId9" Type="http://schemas.openxmlformats.org/officeDocument/2006/relationships/ctrlProp" Target="../ctrlProps/ctrlProp4.xml" /><Relationship Id="rId4" Type="http://schemas.openxmlformats.org/officeDocument/2006/relationships/control" Target="../activeX/activeX1.xml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6.xml" /><Relationship Id="rId4" Type="http://schemas.openxmlformats.org/officeDocument/2006/relationships/ctrlProp" Target="../ctrlProps/ctrlProp15.xml" /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6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8.xml" /><Relationship Id="rId4" Type="http://schemas.openxmlformats.org/officeDocument/2006/relationships/ctrlProp" Target="../ctrlProps/ctrlProp17.xml" /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6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0.xml" /><Relationship Id="rId4" Type="http://schemas.openxmlformats.org/officeDocument/2006/relationships/ctrlProp" Target="../ctrlProps/ctrlProp19.xml" /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6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2.xml" /><Relationship Id="rId4" Type="http://schemas.openxmlformats.org/officeDocument/2006/relationships/ctrlProp" Target="../ctrlProps/ctrlProp21.xml" /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6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4.xml" /><Relationship Id="rId4" Type="http://schemas.openxmlformats.org/officeDocument/2006/relationships/ctrlProp" Target="../ctrlProps/ctrlProp23.xml" /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6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2.xml" /><Relationship Id="rId4" Type="http://schemas.openxmlformats.org/officeDocument/2006/relationships/ctrlProp" Target="../ctrlProps/ctrlProp11.xml" /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4.xml" /><Relationship Id="rId4" Type="http://schemas.openxmlformats.org/officeDocument/2006/relationships/ctrlProp" Target="../ctrlProps/ctrlProp13.xml" /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6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3" tint="0.7999799847602844"/>
  </sheetPr>
  <dimension ref="A1:K33"/>
  <sheetViews>
    <sheetView tabSelected="1" workbookViewId="0" topLeftCell="A1"/>
  </sheetViews>
  <sheetFormatPr defaultColWidth="11.421875" defaultRowHeight="12.75" zeroHeight="1"/>
  <cols>
    <col min="1" max="1" width="11.421875" style="36" customWidth="1"/>
    <col min="2" max="2" width="3.57421875" style="36" customWidth="1"/>
    <col min="3" max="3" width="13.421875" style="36" customWidth="1"/>
    <col min="4" max="4" width="10.57421875" style="36" customWidth="1"/>
    <col min="5" max="5" width="5.7109375" style="36" customWidth="1"/>
    <col min="6" max="6" width="6.57421875" style="36" customWidth="1"/>
    <col min="7" max="7" width="16.28125" style="36" customWidth="1"/>
    <col min="8" max="8" width="15.7109375" style="36" customWidth="1"/>
    <col min="9" max="16383" width="11.421875" style="36" hidden="1" customWidth="1"/>
    <col min="16384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ht="15.75">
      <c r="A4" s="35"/>
      <c r="B4" s="91" t="s">
        <v>12</v>
      </c>
      <c r="C4" s="35"/>
      <c r="D4" s="35"/>
      <c r="E4" s="35"/>
      <c r="F4" s="35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ht="15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ht="15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ht="15">
      <c r="A11" s="56"/>
      <c r="B11" s="39" t="s">
        <v>12</v>
      </c>
      <c r="C11" s="56"/>
      <c r="D11" s="56"/>
      <c r="E11" s="56"/>
      <c r="F11" s="56"/>
      <c r="G11" s="56"/>
      <c r="H11" s="56"/>
      <c r="J11" s="37"/>
      <c r="K11" s="37"/>
    </row>
    <row r="12" spans="1:11" ht="15">
      <c r="A12" s="56"/>
      <c r="B12" s="39"/>
      <c r="C12" s="56"/>
      <c r="D12" s="56"/>
      <c r="E12" s="56"/>
      <c r="F12" s="56"/>
      <c r="G12" s="56"/>
      <c r="H12" s="56"/>
      <c r="J12" s="73">
        <v>4</v>
      </c>
      <c r="K12" s="37"/>
    </row>
    <row r="13" spans="1:11" ht="15">
      <c r="A13" s="56"/>
      <c r="B13" s="39"/>
      <c r="C13" s="56" t="s">
        <v>1</v>
      </c>
      <c r="D13" s="56"/>
      <c r="E13" s="56"/>
      <c r="F13" s="56"/>
      <c r="G13" s="56"/>
      <c r="H13" s="56"/>
      <c r="J13" s="37"/>
      <c r="K13" s="37"/>
    </row>
    <row r="14" spans="1:11" ht="15">
      <c r="A14" s="56"/>
      <c r="B14" s="39"/>
      <c r="C14" s="56"/>
      <c r="D14" s="56"/>
      <c r="E14" s="56"/>
      <c r="F14" s="56"/>
      <c r="G14" s="56"/>
      <c r="H14" s="56"/>
      <c r="J14" s="37"/>
      <c r="K14" s="37"/>
    </row>
    <row r="15" spans="1:11" ht="15">
      <c r="A15" s="56"/>
      <c r="B15" s="39"/>
      <c r="C15" s="56" t="s">
        <v>2</v>
      </c>
      <c r="D15" s="56"/>
      <c r="E15" s="56"/>
      <c r="F15" s="56"/>
      <c r="G15" s="56"/>
      <c r="H15" s="56"/>
      <c r="J15" s="37"/>
      <c r="K15" s="37"/>
    </row>
    <row r="16" spans="1:11" ht="15">
      <c r="A16" s="56"/>
      <c r="B16" s="39"/>
      <c r="C16" s="56" t="s">
        <v>4</v>
      </c>
      <c r="D16" s="56"/>
      <c r="E16" s="56"/>
      <c r="F16" s="56"/>
      <c r="G16" s="56"/>
      <c r="H16" s="56"/>
      <c r="J16" s="37"/>
      <c r="K16" s="37"/>
    </row>
    <row r="17" spans="1:11" ht="15">
      <c r="A17" s="56"/>
      <c r="B17" s="39"/>
      <c r="C17" s="56"/>
      <c r="D17" s="56"/>
      <c r="E17" s="56"/>
      <c r="F17" s="56"/>
      <c r="G17" s="56"/>
      <c r="H17" s="56"/>
      <c r="J17" s="37"/>
      <c r="K17" s="37"/>
    </row>
    <row r="18" spans="1:11" ht="15">
      <c r="A18" s="56"/>
      <c r="B18" s="39"/>
      <c r="C18" s="56" t="s">
        <v>5</v>
      </c>
      <c r="D18" s="56"/>
      <c r="E18" s="56"/>
      <c r="F18" s="56"/>
      <c r="G18" s="56"/>
      <c r="H18" s="56"/>
      <c r="J18" s="37"/>
      <c r="K18" s="37"/>
    </row>
    <row r="19" spans="1:11" ht="15">
      <c r="A19" s="56"/>
      <c r="B19" s="39"/>
      <c r="C19" s="56" t="s">
        <v>6</v>
      </c>
      <c r="D19" s="56"/>
      <c r="E19" s="56"/>
      <c r="F19" s="56"/>
      <c r="G19" s="56"/>
      <c r="H19" s="56"/>
      <c r="J19" s="37"/>
      <c r="K19" s="37"/>
    </row>
    <row r="20" spans="1:11" ht="15">
      <c r="A20" s="56"/>
      <c r="B20" s="39"/>
      <c r="C20" s="56"/>
      <c r="D20" s="56"/>
      <c r="E20" s="56"/>
      <c r="F20" s="56"/>
      <c r="G20" s="56"/>
      <c r="H20" s="56"/>
      <c r="J20" s="37"/>
      <c r="K20" s="37"/>
    </row>
    <row r="21" spans="1:11" ht="15">
      <c r="A21" s="56"/>
      <c r="B21" s="39"/>
      <c r="C21" s="56"/>
      <c r="D21" s="56"/>
      <c r="E21" s="56"/>
      <c r="F21" s="56"/>
      <c r="G21" s="56"/>
      <c r="H21" s="56"/>
      <c r="J21" s="37"/>
      <c r="K21" s="37"/>
    </row>
    <row r="22" spans="1:11" ht="15">
      <c r="A22" s="56"/>
      <c r="B22" s="56"/>
      <c r="C22" s="56"/>
      <c r="D22" s="56"/>
      <c r="E22" s="56"/>
      <c r="F22" s="56"/>
      <c r="G22" s="56"/>
      <c r="H22" s="56"/>
      <c r="J22" s="37"/>
      <c r="K22" s="37"/>
    </row>
    <row r="23" spans="1:11" ht="15">
      <c r="A23" s="56"/>
      <c r="B23" s="39" t="s">
        <v>11</v>
      </c>
      <c r="C23" s="56"/>
      <c r="D23" s="56"/>
      <c r="E23" s="56"/>
      <c r="F23" s="56"/>
      <c r="G23" s="56"/>
      <c r="H23" s="56"/>
      <c r="J23" s="37"/>
      <c r="K23" s="37"/>
    </row>
    <row r="24" spans="1:11" ht="15">
      <c r="A24" s="56"/>
      <c r="B24" s="56"/>
      <c r="C24" s="56"/>
      <c r="D24" s="56"/>
      <c r="E24" s="56"/>
      <c r="F24" s="56"/>
      <c r="G24" s="56"/>
      <c r="H24" s="56"/>
      <c r="J24" s="37"/>
      <c r="K24" s="37"/>
    </row>
    <row r="25" spans="1:11" ht="15">
      <c r="A25" s="56"/>
      <c r="B25" s="56"/>
      <c r="C25" s="56" t="s">
        <v>13</v>
      </c>
      <c r="D25" s="56" t="s">
        <v>84</v>
      </c>
      <c r="E25" s="56"/>
      <c r="F25" s="56" t="s">
        <v>14</v>
      </c>
      <c r="G25" s="56"/>
      <c r="H25" s="56"/>
      <c r="J25" s="37"/>
      <c r="K25" s="37"/>
    </row>
    <row r="26" spans="1:11" ht="15">
      <c r="A26" s="56"/>
      <c r="B26" s="56"/>
      <c r="C26" s="56"/>
      <c r="D26" s="56"/>
      <c r="E26" s="56"/>
      <c r="F26" s="56"/>
      <c r="G26" s="56"/>
      <c r="H26" s="56"/>
      <c r="J26" s="37"/>
      <c r="K26" s="37"/>
    </row>
    <row r="27" spans="1:11" ht="15">
      <c r="A27" s="56"/>
      <c r="B27" s="56"/>
      <c r="C27" s="56"/>
      <c r="D27" s="56"/>
      <c r="E27" s="56"/>
      <c r="F27" s="56"/>
      <c r="G27" s="56"/>
      <c r="H27" s="56"/>
      <c r="J27" s="37"/>
      <c r="K27" s="37"/>
    </row>
    <row r="28" spans="1:11" ht="15" customHeight="1">
      <c r="A28" s="56"/>
      <c r="B28" s="103" t="str">
        <f>IF(Steuerung!A19=3,"Der Abschluss einer Krankentagegeldversicherung ist leider 
nicht möglich.","")</f>
        <v/>
      </c>
      <c r="C28" s="104"/>
      <c r="D28" s="104"/>
      <c r="E28" s="104"/>
      <c r="F28" s="104"/>
      <c r="G28" s="104"/>
      <c r="H28" s="105"/>
      <c r="J28" s="37"/>
      <c r="K28" s="37"/>
    </row>
    <row r="29" spans="1:11" ht="15" customHeight="1">
      <c r="A29" s="56"/>
      <c r="B29" s="104"/>
      <c r="C29" s="104"/>
      <c r="D29" s="104"/>
      <c r="E29" s="104"/>
      <c r="F29" s="104"/>
      <c r="G29" s="104"/>
      <c r="H29" s="105"/>
      <c r="J29" s="37"/>
      <c r="K29" s="37"/>
    </row>
    <row r="30" spans="1:11" ht="12.75">
      <c r="A30" s="38"/>
      <c r="B30" s="38"/>
      <c r="C30" s="38"/>
      <c r="D30" s="38"/>
      <c r="E30" s="38"/>
      <c r="F30" s="38"/>
      <c r="G30" s="38"/>
      <c r="H30" s="38"/>
      <c r="J30" s="37"/>
      <c r="K30" s="37"/>
    </row>
    <row r="31" spans="1:11" ht="12.75">
      <c r="A31" s="38"/>
      <c r="B31" s="38"/>
      <c r="C31" s="38"/>
      <c r="D31" s="38"/>
      <c r="E31" s="38"/>
      <c r="F31" s="38"/>
      <c r="G31" s="38"/>
      <c r="H31" s="38"/>
      <c r="J31" s="73" t="str">
        <f>Steuerung!A23</f>
        <v>AN HAL</v>
      </c>
      <c r="K31" s="37"/>
    </row>
    <row r="32" spans="1:11" ht="12.75">
      <c r="A32" s="38"/>
      <c r="B32" s="38"/>
      <c r="C32" s="38"/>
      <c r="D32" s="38"/>
      <c r="E32" s="38"/>
      <c r="F32" s="38"/>
      <c r="G32" s="38"/>
      <c r="H32" s="38"/>
      <c r="J32" s="37"/>
      <c r="K32" s="37"/>
    </row>
    <row r="33" spans="1:11" ht="12.75">
      <c r="A33" s="38"/>
      <c r="B33" s="38"/>
      <c r="C33" s="38"/>
      <c r="D33" s="38"/>
      <c r="E33" s="38"/>
      <c r="F33" s="38"/>
      <c r="G33" s="38"/>
      <c r="H33" s="38"/>
      <c r="J33" s="37"/>
      <c r="K33" s="37"/>
    </row>
  </sheetData>
  <sheetProtection algorithmName="SHA-512" hashValue="6kCj7DdjCPaFtLEH9zVeYjaqV0gyGTIWwAELIZSDs3jzF6vBwUAsuj0BZVDM21s0XytmBXrzw4dt9xhiTM5wfQ==" saltValue="obaPHyPAt2OOVNjcGOzkxA==" spinCount="100000" sheet="1" objects="1" scenarios="1"/>
  <mergeCells count="1">
    <mergeCell ref="B28:H29"/>
  </mergeCells>
  <printOptions/>
  <pageMargins left="0.7" right="0.7" top="0.787401575" bottom="0.787401575" header="0.3" footer="0.3"/>
  <pageSetup horizontalDpi="600" verticalDpi="600" orientation="portrait" paperSize="9" r:id="rId17"/>
  <drawing r:id="rId16"/>
  <legacyDrawing r:id="rId3"/>
  <controls>
    <control shapeId="1055" r:id="rId1" name="CommandButton1"/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2">
    <tabColor theme="0" tint="-0.1499900072813034"/>
    <pageSetUpPr fitToPage="1"/>
  </sheetPr>
  <dimension ref="A1:S40"/>
  <sheetViews>
    <sheetView workbookViewId="0" topLeftCell="A1">
      <selection activeCell="D30" sqref="D30"/>
    </sheetView>
  </sheetViews>
  <sheetFormatPr defaultColWidth="0" defaultRowHeight="12.75" zeroHeight="1"/>
  <cols>
    <col min="1" max="1" width="16.28125" style="36" customWidth="1"/>
    <col min="2" max="2" width="9.140625" style="36" customWidth="1"/>
    <col min="3" max="3" width="11.8515625" style="36" customWidth="1"/>
    <col min="4" max="4" width="9.7109375" style="36" customWidth="1"/>
    <col min="5" max="5" width="9.00390625" style="36" customWidth="1"/>
    <col min="6" max="6" width="12.57421875" style="36" customWidth="1"/>
    <col min="7" max="7" width="11.57421875" style="36" customWidth="1"/>
    <col min="8" max="8" width="11.421875" style="36" customWidth="1"/>
    <col min="9" max="9" width="11.421875" style="36" hidden="1" customWidth="1"/>
    <col min="10" max="10" width="14.8515625" style="36" hidden="1" customWidth="1"/>
    <col min="11" max="11" width="11.421875" style="36" hidden="1" customWidth="1"/>
    <col min="12" max="12" width="19.7109375" style="36" hidden="1" customWidth="1"/>
    <col min="13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ht="15.75">
      <c r="A4" s="35"/>
      <c r="B4" s="91" t="s">
        <v>77</v>
      </c>
      <c r="C4" s="35"/>
      <c r="D4" s="35"/>
      <c r="E4" s="35"/>
      <c r="F4" s="35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ht="15" customHeight="1">
      <c r="A11" s="56"/>
      <c r="B11" s="39" t="s">
        <v>35</v>
      </c>
      <c r="C11" s="56"/>
      <c r="D11" s="56"/>
      <c r="E11" s="56"/>
      <c r="F11" s="56"/>
      <c r="G11" s="40">
        <v>1967</v>
      </c>
      <c r="H11" s="56"/>
      <c r="J11" s="41">
        <f>YEAR(G13)-G11</f>
        <v>53</v>
      </c>
      <c r="K11" s="37"/>
    </row>
    <row r="12" spans="1:1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ht="15" customHeight="1">
      <c r="A13" s="56"/>
      <c r="B13" s="39" t="s">
        <v>36</v>
      </c>
      <c r="C13" s="56"/>
      <c r="D13" s="56"/>
      <c r="E13" s="56"/>
      <c r="F13" s="56"/>
      <c r="G13" s="42">
        <v>43831</v>
      </c>
      <c r="H13" s="56"/>
      <c r="J13" s="37"/>
      <c r="K13" s="37"/>
    </row>
    <row r="14" spans="1:1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</row>
    <row r="15" spans="1:11" ht="15" customHeight="1">
      <c r="A15" s="56"/>
      <c r="B15" s="112" t="s">
        <v>108</v>
      </c>
      <c r="C15" s="105"/>
      <c r="D15" s="105"/>
      <c r="E15" s="105"/>
      <c r="F15" s="126"/>
      <c r="G15" s="43">
        <v>100000</v>
      </c>
      <c r="H15" s="56"/>
      <c r="J15" s="62" t="s">
        <v>40</v>
      </c>
      <c r="K15" s="62">
        <f>G15/12</f>
        <v>8333.333333333334</v>
      </c>
    </row>
    <row r="16" spans="1:11" ht="15" customHeight="1" hidden="1">
      <c r="A16" s="56"/>
      <c r="B16" s="56"/>
      <c r="C16" s="56"/>
      <c r="D16" s="56"/>
      <c r="E16" s="56"/>
      <c r="F16" s="56"/>
      <c r="G16" s="56"/>
      <c r="H16" s="56"/>
      <c r="J16" s="60" t="s">
        <v>45</v>
      </c>
      <c r="K16" s="62">
        <f>K15*0.7</f>
        <v>5833.333333333333</v>
      </c>
    </row>
    <row r="17" spans="1:11" ht="15" customHeight="1" hidden="1">
      <c r="A17" s="56"/>
      <c r="B17" s="127"/>
      <c r="C17" s="128"/>
      <c r="D17" s="128"/>
      <c r="E17" s="128"/>
      <c r="F17" s="128"/>
      <c r="G17" s="56"/>
      <c r="H17" s="56"/>
      <c r="J17" s="37" t="s">
        <v>41</v>
      </c>
      <c r="K17" s="37">
        <f>IF(K16&lt;Steuerung!F2,K16,Steuerung!F2)</f>
        <v>3281.25</v>
      </c>
    </row>
    <row r="18" spans="1:11" ht="15" customHeight="1" hidden="1">
      <c r="A18" s="56"/>
      <c r="B18" s="56"/>
      <c r="C18" s="56"/>
      <c r="D18" s="56"/>
      <c r="E18" s="56"/>
      <c r="F18" s="56"/>
      <c r="G18" s="56"/>
      <c r="H18" s="56"/>
      <c r="J18" s="37" t="s">
        <v>69</v>
      </c>
      <c r="K18" s="59">
        <f>IF(K15&lt;Steuerung!F7/12,K15*0.8*Steuerung!F5*2,Steuerung!F7/12*0.8*Steuerung!F5*2)</f>
        <v>133.125</v>
      </c>
    </row>
    <row r="19" spans="1:11" ht="15" customHeight="1">
      <c r="A19" s="56"/>
      <c r="B19" s="103" t="s">
        <v>66</v>
      </c>
      <c r="C19" s="104"/>
      <c r="D19" s="104"/>
      <c r="E19" s="104"/>
      <c r="F19" s="104"/>
      <c r="G19" s="104"/>
      <c r="H19" s="56"/>
      <c r="J19" s="37" t="s">
        <v>65</v>
      </c>
      <c r="K19" s="62">
        <f>K15*0.8</f>
        <v>6666.666666666668</v>
      </c>
    </row>
    <row r="20" spans="1:11" ht="15" customHeight="1">
      <c r="A20" s="56"/>
      <c r="B20" s="114"/>
      <c r="C20" s="114"/>
      <c r="D20" s="114"/>
      <c r="E20" s="114"/>
      <c r="F20" s="114"/>
      <c r="G20" s="114"/>
      <c r="H20" s="56"/>
      <c r="J20" s="37" t="s">
        <v>44</v>
      </c>
      <c r="K20" s="62">
        <f>K19-K17+K18</f>
        <v>3518.541666666668</v>
      </c>
    </row>
    <row r="21" spans="1:11" ht="15" customHeight="1">
      <c r="A21" s="56"/>
      <c r="B21" s="56"/>
      <c r="C21" s="135" t="s">
        <v>67</v>
      </c>
      <c r="D21" s="56"/>
      <c r="E21" s="137" t="s">
        <v>68</v>
      </c>
      <c r="F21" s="105"/>
      <c r="G21" s="105"/>
      <c r="H21" s="56"/>
      <c r="J21" s="37" t="s">
        <v>43</v>
      </c>
      <c r="K21" s="62">
        <f>K20/30</f>
        <v>117.28472222222226</v>
      </c>
    </row>
    <row r="22" spans="1:11" ht="15" customHeight="1">
      <c r="A22" s="56"/>
      <c r="B22" s="56"/>
      <c r="C22" s="136"/>
      <c r="D22" s="56"/>
      <c r="E22" s="138"/>
      <c r="F22" s="105"/>
      <c r="G22" s="105"/>
      <c r="H22" s="56"/>
      <c r="J22" s="37"/>
      <c r="K22" s="37">
        <f>IF((ROUNDUP((K21)*2,-1)/2)&lt;5,5,ROUNDUP((K21)*2,-1)/2)</f>
        <v>120</v>
      </c>
    </row>
    <row r="23" spans="1:19" ht="15" customHeight="1">
      <c r="A23" s="56"/>
      <c r="B23" s="56"/>
      <c r="C23" s="56"/>
      <c r="D23" s="56"/>
      <c r="E23" s="56"/>
      <c r="F23" s="56"/>
      <c r="G23" s="56"/>
      <c r="H23" s="56"/>
      <c r="J23" s="37"/>
      <c r="K23" s="37"/>
      <c r="Q23" s="45"/>
      <c r="R23" s="45"/>
      <c r="S23" s="45"/>
    </row>
    <row r="24" spans="1:11" ht="15" customHeight="1">
      <c r="A24" s="56"/>
      <c r="B24" s="112" t="s">
        <v>60</v>
      </c>
      <c r="C24" s="105"/>
      <c r="D24" s="46">
        <f>IF(K24=1,K26,K27)</f>
        <v>120</v>
      </c>
      <c r="E24" s="120" t="str">
        <f>IF(D24&gt;400,"ACHTUNG: versicherbar sind nur 400 €!","")</f>
        <v/>
      </c>
      <c r="F24" s="134"/>
      <c r="G24" s="134"/>
      <c r="H24" s="105"/>
      <c r="J24" s="62"/>
      <c r="K24" s="79">
        <v>1</v>
      </c>
    </row>
    <row r="25" spans="1:11" ht="15" customHeight="1">
      <c r="A25" s="56"/>
      <c r="B25" s="56"/>
      <c r="C25" s="56"/>
      <c r="D25" s="56"/>
      <c r="E25" s="134"/>
      <c r="F25" s="134"/>
      <c r="G25" s="134"/>
      <c r="H25" s="105"/>
      <c r="J25" s="62"/>
      <c r="K25" s="62"/>
    </row>
    <row r="26" spans="1:11" ht="15" customHeight="1">
      <c r="A26" s="56"/>
      <c r="B26" s="112" t="s">
        <v>37</v>
      </c>
      <c r="C26" s="105"/>
      <c r="D26" s="49" t="s">
        <v>39</v>
      </c>
      <c r="E26" s="56"/>
      <c r="F26" s="66" t="s">
        <v>38</v>
      </c>
      <c r="G26" s="56"/>
      <c r="H26" s="56"/>
      <c r="J26" s="60" t="s">
        <v>70</v>
      </c>
      <c r="K26" s="62">
        <f>K22</f>
        <v>120</v>
      </c>
    </row>
    <row r="27" spans="1:11" ht="15" customHeight="1">
      <c r="A27" s="56"/>
      <c r="B27" s="64"/>
      <c r="C27" s="50"/>
      <c r="D27" s="67" t="s">
        <v>62</v>
      </c>
      <c r="E27" s="56"/>
      <c r="F27" s="58"/>
      <c r="G27" s="56"/>
      <c r="H27" s="56"/>
      <c r="J27" s="37" t="s">
        <v>71</v>
      </c>
      <c r="K27" s="62">
        <f>ROUNDUP((K19/30)*2,-1)/2</f>
        <v>225</v>
      </c>
    </row>
    <row r="28" spans="1:11" ht="15" customHeight="1">
      <c r="A28" s="56"/>
      <c r="B28" s="39" t="s">
        <v>52</v>
      </c>
      <c r="C28" s="56"/>
      <c r="D28" s="43">
        <v>40</v>
      </c>
      <c r="E28" s="56"/>
      <c r="F28" s="68">
        <f>J33*K33</f>
        <v>30.56</v>
      </c>
      <c r="G28" s="56"/>
      <c r="H28" s="56"/>
      <c r="J28" s="37"/>
      <c r="K28" s="62"/>
    </row>
    <row r="29" spans="1:11" ht="15" customHeight="1">
      <c r="A29" s="56"/>
      <c r="B29" s="39" t="s">
        <v>55</v>
      </c>
      <c r="C29" s="56"/>
      <c r="D29" s="43">
        <v>10</v>
      </c>
      <c r="E29" s="56"/>
      <c r="F29" s="68">
        <f>J34*K34</f>
        <v>8.94</v>
      </c>
      <c r="G29" s="56"/>
      <c r="H29" s="56"/>
      <c r="J29" s="37" t="s">
        <v>72</v>
      </c>
      <c r="K29" s="62">
        <f>D24</f>
        <v>120</v>
      </c>
    </row>
    <row r="30" spans="1:11" ht="15" customHeight="1">
      <c r="A30" s="56"/>
      <c r="B30" s="69" t="s">
        <v>53</v>
      </c>
      <c r="C30" s="56"/>
      <c r="D30" s="43">
        <v>70</v>
      </c>
      <c r="E30" s="56"/>
      <c r="F30" s="68">
        <f>J35*K35</f>
        <v>42.98</v>
      </c>
      <c r="G30" s="56"/>
      <c r="H30" s="56"/>
      <c r="J30" s="37"/>
      <c r="K30" s="88"/>
    </row>
    <row r="31" spans="1:11" ht="15" customHeight="1">
      <c r="A31" s="56"/>
      <c r="B31" s="122" t="str">
        <f>IF(L36&gt;0,"KT-Höhe bitte in 5 €-Schritten wählen!","")</f>
        <v/>
      </c>
      <c r="C31" s="123"/>
      <c r="D31" s="123"/>
      <c r="E31" s="123"/>
      <c r="F31" s="123"/>
      <c r="G31" s="56"/>
      <c r="H31" s="56"/>
      <c r="J31" s="41">
        <f>VLOOKUP(B30,Steuerung!F27:G32,2,FALSE)+2</f>
        <v>4</v>
      </c>
      <c r="K31" s="37"/>
    </row>
    <row r="32" spans="1:11" ht="15" customHeight="1">
      <c r="A32" s="56"/>
      <c r="B32" s="39" t="s">
        <v>61</v>
      </c>
      <c r="C32" s="56"/>
      <c r="D32" s="46">
        <f>D28+D29+D30</f>
        <v>120</v>
      </c>
      <c r="E32" s="56"/>
      <c r="F32" s="71">
        <f>F28+F29+F30</f>
        <v>82.47999999999999</v>
      </c>
      <c r="G32" s="56"/>
      <c r="H32" s="56"/>
      <c r="J32" s="37"/>
      <c r="K32" s="37"/>
    </row>
    <row r="33" spans="1:12" ht="15" customHeight="1">
      <c r="A33" s="56"/>
      <c r="B33" s="56"/>
      <c r="C33" s="56"/>
      <c r="D33" s="56"/>
      <c r="E33" s="56"/>
      <c r="F33" s="56"/>
      <c r="G33" s="56"/>
      <c r="H33" s="56"/>
      <c r="J33" s="41">
        <f>D28/5</f>
        <v>8</v>
      </c>
      <c r="K33" s="59">
        <f>VLOOKUP(J11,'KT-Beiträge F'!A:B,2,FALSE)</f>
        <v>3.82</v>
      </c>
      <c r="L33" s="37">
        <f>IF(INT(J33)=J33,0,1)</f>
        <v>0</v>
      </c>
    </row>
    <row r="34" spans="1:12" ht="15" customHeight="1">
      <c r="A34" s="56"/>
      <c r="B34" s="120" t="str">
        <f>IF(D32&gt;400,"Versicherbares Höchsttagegeld überschritten, bitte auf insgesamt 400 € reduzieren.",IF(D32&gt;D24,(CONCATENATE("Versicherbares Tagegeld (Nettoeinkommen) überschritten, bitte auf insgesamt ",D24," € reduzieren.")),IF(D24&gt;D32,(CONCATENATE("ACHTUNG Absicherungslücke in Höhe von ",D24-D32," €!")),"")))</f>
        <v/>
      </c>
      <c r="C34" s="134"/>
      <c r="D34" s="134"/>
      <c r="E34" s="134"/>
      <c r="F34" s="134"/>
      <c r="G34" s="134"/>
      <c r="H34" s="56"/>
      <c r="J34" s="41">
        <f>D29/5</f>
        <v>2</v>
      </c>
      <c r="K34" s="59">
        <f>VLOOKUP(J11,'KT-Beiträge F'!A:C,3,FALSE)</f>
        <v>4.47</v>
      </c>
      <c r="L34" s="37">
        <f>IF(INT(J34)=J34,0,1)</f>
        <v>0</v>
      </c>
    </row>
    <row r="35" spans="1:12" ht="15" customHeight="1">
      <c r="A35" s="56"/>
      <c r="B35" s="134"/>
      <c r="C35" s="134"/>
      <c r="D35" s="134"/>
      <c r="E35" s="134"/>
      <c r="F35" s="134"/>
      <c r="G35" s="134"/>
      <c r="H35" s="56"/>
      <c r="J35" s="41">
        <f>D30/5</f>
        <v>14</v>
      </c>
      <c r="K35" s="59">
        <f>VLOOKUP(J11,'KT-Beiträge F'!A:I,J31,FALSE)</f>
        <v>3.07</v>
      </c>
      <c r="L35" s="37">
        <f>IF(INT(J35)=J35,0,1)</f>
        <v>0</v>
      </c>
    </row>
    <row r="36" spans="1:12" ht="15" customHeight="1">
      <c r="A36" s="38"/>
      <c r="B36" s="50"/>
      <c r="C36" s="50"/>
      <c r="D36" s="50"/>
      <c r="E36" s="50"/>
      <c r="F36" s="50"/>
      <c r="G36" s="50"/>
      <c r="H36" s="38"/>
      <c r="J36" s="37"/>
      <c r="K36" s="37"/>
      <c r="L36" s="37">
        <f>L33+L34+L35</f>
        <v>0</v>
      </c>
    </row>
    <row r="37" spans="1:12" ht="15" customHeight="1">
      <c r="A37" s="38"/>
      <c r="B37" s="50"/>
      <c r="C37" s="50"/>
      <c r="D37" s="50"/>
      <c r="E37" s="50"/>
      <c r="F37" s="50"/>
      <c r="G37" s="50"/>
      <c r="H37" s="38"/>
      <c r="J37" s="89"/>
      <c r="K37" s="89"/>
      <c r="L37" s="89"/>
    </row>
    <row r="38" spans="1:12" ht="15" customHeight="1">
      <c r="A38" s="38"/>
      <c r="B38" s="50"/>
      <c r="C38" s="50"/>
      <c r="D38" s="50"/>
      <c r="E38" s="50"/>
      <c r="F38" s="50"/>
      <c r="G38" s="50"/>
      <c r="H38" s="38"/>
      <c r="J38" s="89"/>
      <c r="K38" s="89"/>
      <c r="L38" s="89"/>
    </row>
    <row r="39" spans="1:8" ht="14.25">
      <c r="A39" s="38"/>
      <c r="B39" s="38" t="s">
        <v>101</v>
      </c>
      <c r="C39" s="50"/>
      <c r="D39" s="50"/>
      <c r="E39" s="50"/>
      <c r="F39" s="50"/>
      <c r="G39" s="50"/>
      <c r="H39" s="38"/>
    </row>
    <row r="40" spans="1:8" ht="14.25">
      <c r="A40" s="38"/>
      <c r="B40" s="50"/>
      <c r="C40" s="50"/>
      <c r="D40" s="50"/>
      <c r="E40" s="50"/>
      <c r="F40" s="50"/>
      <c r="G40" s="50"/>
      <c r="H40" s="38"/>
    </row>
  </sheetData>
  <sheetProtection algorithmName="SHA-512" hashValue="t6dcB23mWzF28gN/u+8ZvezIyDdNjZINriWDESV/KZ2cVfp/Dw1RgwqUtZmg2njx+b/DtM3cBKs/zRGvRG8LfQ==" saltValue="9UxCl3itbAvzd4zaumpPXQ==" spinCount="100000" sheet="1" objects="1" scenarios="1"/>
  <mergeCells count="10">
    <mergeCell ref="B26:C26"/>
    <mergeCell ref="B31:F31"/>
    <mergeCell ref="B34:G35"/>
    <mergeCell ref="B15:F15"/>
    <mergeCell ref="B17:F17"/>
    <mergeCell ref="B19:G20"/>
    <mergeCell ref="C21:C22"/>
    <mergeCell ref="E21:G22"/>
    <mergeCell ref="B24:C24"/>
    <mergeCell ref="E24:H25"/>
  </mergeCells>
  <dataValidations count="6">
    <dataValidation type="whole" allowBlank="1" showInputMessage="1" showErrorMessage="1" sqref="D29">
      <formula1>0</formula1>
      <formula2>200</formula2>
    </dataValidation>
    <dataValidation type="whole" allowBlank="1" showInputMessage="1" showErrorMessage="1" sqref="D30">
      <formula1>0</formula1>
      <formula2>400</formula2>
    </dataValidation>
    <dataValidation type="whole" allowBlank="1" showInputMessage="1" showErrorMessage="1" sqref="D28">
      <formula1>0</formula1>
      <formula2>100</formula2>
    </dataValidation>
    <dataValidation type="list" allowBlank="1" showInputMessage="1" showErrorMessage="1" sqref="B30">
      <formula1>Steuerung!$F$27:$F$32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7" r:id="rId6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3">
    <tabColor theme="0" tint="-0.1499900072813034"/>
    <pageSetUpPr fitToPage="1"/>
  </sheetPr>
  <dimension ref="A1:S34"/>
  <sheetViews>
    <sheetView workbookViewId="0" topLeftCell="A1">
      <selection activeCell="D24" sqref="D24"/>
    </sheetView>
  </sheetViews>
  <sheetFormatPr defaultColWidth="0" defaultRowHeight="12.75" zeroHeight="1"/>
  <cols>
    <col min="1" max="1" width="14.28125" style="36" customWidth="1"/>
    <col min="2" max="2" width="8.140625" style="36" customWidth="1"/>
    <col min="3" max="3" width="6.00390625" style="36" customWidth="1"/>
    <col min="4" max="4" width="12.140625" style="36" customWidth="1"/>
    <col min="5" max="5" width="7.140625" style="36" customWidth="1"/>
    <col min="6" max="6" width="12.421875" style="36" customWidth="1"/>
    <col min="7" max="7" width="14.7109375" style="36" customWidth="1"/>
    <col min="8" max="8" width="13.00390625" style="36" customWidth="1"/>
    <col min="9" max="11" width="11.421875" style="36" hidden="1" customWidth="1"/>
    <col min="12" max="12" width="19.7109375" style="36" hidden="1" customWidth="1"/>
    <col min="13" max="14" width="0" style="36" hidden="1" customWidth="1"/>
    <col min="15" max="15" width="0" style="72" hidden="1" customWidth="1"/>
    <col min="16" max="19" width="0" style="36" hidden="1" customWidth="1"/>
    <col min="20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ht="15.75">
      <c r="A4" s="35"/>
      <c r="B4" s="91" t="s">
        <v>6</v>
      </c>
      <c r="C4" s="35"/>
      <c r="D4" s="35"/>
      <c r="E4" s="35"/>
      <c r="F4" s="35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ht="15" customHeight="1">
      <c r="A11" s="56"/>
      <c r="B11" s="39" t="s">
        <v>35</v>
      </c>
      <c r="C11" s="56"/>
      <c r="D11" s="56"/>
      <c r="E11" s="56"/>
      <c r="F11" s="56"/>
      <c r="G11" s="40">
        <v>1994</v>
      </c>
      <c r="H11" s="56"/>
      <c r="J11" s="41">
        <f>YEAR(G13)-G11</f>
        <v>26</v>
      </c>
      <c r="K11" s="37"/>
    </row>
    <row r="12" spans="1:1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ht="15" customHeight="1">
      <c r="A13" s="56"/>
      <c r="B13" s="39" t="s">
        <v>36</v>
      </c>
      <c r="C13" s="56"/>
      <c r="D13" s="56"/>
      <c r="E13" s="56"/>
      <c r="F13" s="56"/>
      <c r="G13" s="42">
        <v>43831</v>
      </c>
      <c r="H13" s="56"/>
      <c r="J13" s="37"/>
      <c r="K13" s="37"/>
    </row>
    <row r="14" spans="1:13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  <c r="M14" s="63"/>
    </row>
    <row r="15" spans="1:11" ht="15" customHeight="1">
      <c r="A15" s="56"/>
      <c r="B15" s="112" t="s">
        <v>108</v>
      </c>
      <c r="C15" s="105"/>
      <c r="D15" s="105"/>
      <c r="E15" s="105"/>
      <c r="F15" s="119"/>
      <c r="G15" s="43">
        <v>60000</v>
      </c>
      <c r="H15" s="56"/>
      <c r="J15" s="37"/>
      <c r="K15" s="37"/>
    </row>
    <row r="16" spans="1:15" ht="15" customHeight="1">
      <c r="A16" s="56"/>
      <c r="B16" s="56"/>
      <c r="C16" s="50"/>
      <c r="D16" s="50"/>
      <c r="E16" s="50"/>
      <c r="F16" s="50"/>
      <c r="G16" s="50"/>
      <c r="H16" s="56"/>
      <c r="J16" s="37"/>
      <c r="K16" s="37"/>
      <c r="O16" s="65"/>
    </row>
    <row r="17" spans="1:19" ht="15" customHeight="1">
      <c r="A17" s="56"/>
      <c r="B17" s="112" t="s">
        <v>60</v>
      </c>
      <c r="C17" s="105"/>
      <c r="D17" s="46">
        <f>(ROUNDUP((0.8*(G15/365))*2,-1)/2)</f>
        <v>135</v>
      </c>
      <c r="E17" s="124" t="str">
        <f>IF(D17&gt;200,"ACHTUNG: versicherbar
sind nur 200 €!","")</f>
        <v/>
      </c>
      <c r="F17" s="125"/>
      <c r="G17" s="125"/>
      <c r="H17" s="105"/>
      <c r="J17" s="37"/>
      <c r="K17" s="37"/>
      <c r="N17" s="65"/>
      <c r="O17" s="65"/>
      <c r="P17" s="65"/>
      <c r="Q17" s="65"/>
      <c r="R17" s="65"/>
      <c r="S17" s="65"/>
    </row>
    <row r="18" spans="1:19" ht="15" customHeight="1">
      <c r="A18" s="56"/>
      <c r="B18" s="56"/>
      <c r="C18" s="56"/>
      <c r="D18" s="56"/>
      <c r="E18" s="125"/>
      <c r="F18" s="125"/>
      <c r="G18" s="125"/>
      <c r="H18" s="105"/>
      <c r="J18" s="37"/>
      <c r="K18" s="37"/>
      <c r="N18" s="65"/>
      <c r="O18" s="65"/>
      <c r="P18" s="65"/>
      <c r="Q18" s="65"/>
      <c r="R18" s="65"/>
      <c r="S18" s="65"/>
    </row>
    <row r="19" spans="1:19" ht="15" customHeight="1">
      <c r="A19" s="56"/>
      <c r="B19" s="56"/>
      <c r="C19" s="56"/>
      <c r="D19" s="56"/>
      <c r="E19" s="56"/>
      <c r="F19" s="56"/>
      <c r="G19" s="56"/>
      <c r="H19" s="56"/>
      <c r="J19" s="37"/>
      <c r="K19" s="37"/>
      <c r="N19" s="65"/>
      <c r="O19" s="65"/>
      <c r="P19" s="65"/>
      <c r="Q19" s="65"/>
      <c r="R19" s="65"/>
      <c r="S19" s="65"/>
    </row>
    <row r="20" spans="1:19" ht="15" customHeight="1">
      <c r="A20" s="56"/>
      <c r="B20" s="112" t="s">
        <v>37</v>
      </c>
      <c r="C20" s="105"/>
      <c r="D20" s="49" t="s">
        <v>39</v>
      </c>
      <c r="E20" s="56"/>
      <c r="F20" s="66" t="s">
        <v>38</v>
      </c>
      <c r="G20" s="56"/>
      <c r="H20" s="56"/>
      <c r="J20" s="41">
        <f>VLOOKUP(B24,Steuerung!F27:G32,2,FALSE)+2</f>
        <v>6</v>
      </c>
      <c r="K20" s="37"/>
      <c r="N20" s="65"/>
      <c r="O20" s="65"/>
      <c r="P20" s="65"/>
      <c r="Q20" s="65"/>
      <c r="R20" s="65"/>
      <c r="S20" s="65"/>
    </row>
    <row r="21" spans="1:19" ht="15" customHeight="1">
      <c r="A21" s="56"/>
      <c r="B21" s="64"/>
      <c r="C21" s="50"/>
      <c r="D21" s="67" t="s">
        <v>62</v>
      </c>
      <c r="E21" s="56"/>
      <c r="F21" s="58"/>
      <c r="G21" s="56"/>
      <c r="H21" s="56"/>
      <c r="J21" s="37"/>
      <c r="K21" s="37"/>
      <c r="N21" s="65"/>
      <c r="O21" s="65"/>
      <c r="P21" s="65"/>
      <c r="Q21" s="65"/>
      <c r="R21" s="65"/>
      <c r="S21" s="65"/>
    </row>
    <row r="22" spans="1:19" ht="15" customHeight="1">
      <c r="A22" s="56"/>
      <c r="B22" s="39" t="s">
        <v>52</v>
      </c>
      <c r="C22" s="56"/>
      <c r="D22" s="43">
        <v>50</v>
      </c>
      <c r="E22" s="56"/>
      <c r="F22" s="68">
        <f>J22*K22</f>
        <v>21.099999999999998</v>
      </c>
      <c r="G22" s="56"/>
      <c r="H22" s="56"/>
      <c r="J22" s="41">
        <f>D22/5</f>
        <v>10</v>
      </c>
      <c r="K22" s="59">
        <f>VLOOKUP(J11,'KT-Beiträge F'!A:B,2,FALSE)</f>
        <v>2.11</v>
      </c>
      <c r="L22" s="37">
        <f>IF(INT(J22)=J22,0,1)</f>
        <v>0</v>
      </c>
      <c r="N22" s="65"/>
      <c r="O22" s="65"/>
      <c r="P22" s="65"/>
      <c r="Q22" s="65"/>
      <c r="R22" s="65"/>
      <c r="S22" s="65"/>
    </row>
    <row r="23" spans="1:19" ht="15" customHeight="1">
      <c r="A23" s="56"/>
      <c r="B23" s="39" t="s">
        <v>55</v>
      </c>
      <c r="C23" s="56"/>
      <c r="D23" s="43">
        <v>50</v>
      </c>
      <c r="E23" s="56"/>
      <c r="F23" s="68">
        <f>J23*K23</f>
        <v>21.6</v>
      </c>
      <c r="G23" s="56"/>
      <c r="H23" s="56"/>
      <c r="J23" s="41">
        <f>D23/5</f>
        <v>10</v>
      </c>
      <c r="K23" s="59">
        <f>VLOOKUP(J11,'KT-Beiträge F'!A:D,3,FALSE)</f>
        <v>2.16</v>
      </c>
      <c r="L23" s="37">
        <f>IF(INT(J23)=J23,0,1)</f>
        <v>0</v>
      </c>
      <c r="N23" s="65"/>
      <c r="O23" s="65"/>
      <c r="P23" s="65"/>
      <c r="Q23" s="65"/>
      <c r="R23" s="65"/>
      <c r="S23" s="65"/>
    </row>
    <row r="24" spans="1:19" ht="15" customHeight="1">
      <c r="A24" s="56"/>
      <c r="B24" s="69" t="s">
        <v>31</v>
      </c>
      <c r="C24" s="56"/>
      <c r="D24" s="43">
        <v>35</v>
      </c>
      <c r="E24" s="56"/>
      <c r="F24" s="68">
        <f>J24*K24</f>
        <v>4.8999999999999995</v>
      </c>
      <c r="G24" s="56"/>
      <c r="H24" s="56"/>
      <c r="J24" s="41">
        <f>D24/5</f>
        <v>7</v>
      </c>
      <c r="K24" s="59">
        <f>VLOOKUP(J11,'KT-Beiträge F'!A:I,J20,FALSE)</f>
        <v>0.7</v>
      </c>
      <c r="L24" s="37">
        <f>IF(INT(J24)=J24,0,1)</f>
        <v>0</v>
      </c>
      <c r="N24" s="65"/>
      <c r="O24" s="65"/>
      <c r="P24" s="65"/>
      <c r="Q24" s="70"/>
      <c r="R24" s="65"/>
      <c r="S24" s="70"/>
    </row>
    <row r="25" spans="1:19" ht="15" customHeight="1">
      <c r="A25" s="56"/>
      <c r="B25" s="122" t="str">
        <f>IF(L25&gt;0,"KT-Höhe bitte in 5 €-Schritten wählen!","")</f>
        <v/>
      </c>
      <c r="C25" s="123"/>
      <c r="D25" s="123"/>
      <c r="E25" s="123"/>
      <c r="F25" s="123"/>
      <c r="G25" s="56"/>
      <c r="H25" s="56"/>
      <c r="J25" s="37"/>
      <c r="K25" s="37"/>
      <c r="L25" s="37">
        <f>L22+L23+L24</f>
        <v>0</v>
      </c>
      <c r="N25" s="65"/>
      <c r="O25" s="65"/>
      <c r="P25" s="65"/>
      <c r="Q25" s="65"/>
      <c r="R25" s="65"/>
      <c r="S25" s="65"/>
    </row>
    <row r="26" spans="1:19" ht="15" customHeight="1">
      <c r="A26" s="56"/>
      <c r="B26" s="39" t="s">
        <v>61</v>
      </c>
      <c r="C26" s="56"/>
      <c r="D26" s="46">
        <f>D22+D23+D24</f>
        <v>135</v>
      </c>
      <c r="E26" s="56"/>
      <c r="F26" s="71">
        <f>F22+F23+F24</f>
        <v>47.6</v>
      </c>
      <c r="G26" s="56"/>
      <c r="H26" s="56"/>
      <c r="J26" s="37"/>
      <c r="K26" s="37"/>
      <c r="N26" s="65"/>
      <c r="O26" s="65"/>
      <c r="P26" s="65"/>
      <c r="Q26" s="65"/>
      <c r="R26" s="65"/>
      <c r="S26" s="65"/>
    </row>
    <row r="27" spans="1:19" ht="15" customHeight="1">
      <c r="A27" s="56"/>
      <c r="B27" s="56"/>
      <c r="C27" s="56"/>
      <c r="D27" s="56"/>
      <c r="E27" s="56"/>
      <c r="F27" s="56"/>
      <c r="G27" s="56"/>
      <c r="H27" s="56"/>
      <c r="J27" s="37"/>
      <c r="K27" s="37"/>
      <c r="N27" s="65"/>
      <c r="O27" s="65"/>
      <c r="P27" s="65"/>
      <c r="Q27" s="65"/>
      <c r="R27" s="65"/>
      <c r="S27" s="65"/>
    </row>
    <row r="28" spans="1:19" ht="15" customHeight="1">
      <c r="A28" s="56"/>
      <c r="B28" s="120" t="str">
        <f>IF(D26&gt;200,"Versicherbares Höchsttagegeld überschritten, bitte auf insgesamt 200 € reduzieren.",IF(D26&gt;D17,(CONCATENATE("gewähltes Tagegeld höher als Bedarf, 
bitte auf insgesamt ",D17," € reduzieren.")),IF(D17&gt;D26,(CONCATENATE("ACHTUNG Absicherungslücke in Höhe von ",D17-D26," €!")),"")))</f>
        <v/>
      </c>
      <c r="C28" s="134"/>
      <c r="D28" s="134"/>
      <c r="E28" s="134"/>
      <c r="F28" s="134"/>
      <c r="G28" s="134"/>
      <c r="H28" s="56"/>
      <c r="J28" s="37"/>
      <c r="K28" s="37"/>
      <c r="N28" s="65"/>
      <c r="O28" s="65"/>
      <c r="P28" s="65"/>
      <c r="Q28" s="65"/>
      <c r="R28" s="65"/>
      <c r="S28" s="65"/>
    </row>
    <row r="29" spans="1:11" ht="15" customHeight="1">
      <c r="A29" s="56"/>
      <c r="B29" s="134"/>
      <c r="C29" s="134"/>
      <c r="D29" s="134"/>
      <c r="E29" s="134"/>
      <c r="F29" s="134"/>
      <c r="G29" s="134"/>
      <c r="H29" s="56"/>
      <c r="J29" s="37"/>
      <c r="K29" s="37"/>
    </row>
    <row r="30" spans="1:11" ht="15" customHeight="1">
      <c r="A30" s="38"/>
      <c r="B30" s="50"/>
      <c r="C30" s="50"/>
      <c r="D30" s="50"/>
      <c r="E30" s="50"/>
      <c r="F30" s="50"/>
      <c r="G30" s="50"/>
      <c r="H30" s="38"/>
      <c r="J30" s="37"/>
      <c r="K30" s="37"/>
    </row>
    <row r="31" spans="1:11" ht="15" customHeight="1">
      <c r="A31" s="38"/>
      <c r="B31" s="50"/>
      <c r="C31" s="50"/>
      <c r="D31" s="50"/>
      <c r="E31" s="50"/>
      <c r="F31" s="50"/>
      <c r="G31" s="50"/>
      <c r="H31" s="38"/>
      <c r="J31" s="37"/>
      <c r="K31" s="37"/>
    </row>
    <row r="32" spans="1:11" ht="15" customHeight="1">
      <c r="A32" s="38"/>
      <c r="B32" s="50"/>
      <c r="C32" s="50"/>
      <c r="D32" s="50"/>
      <c r="E32" s="50"/>
      <c r="F32" s="50"/>
      <c r="G32" s="50"/>
      <c r="H32" s="38"/>
      <c r="J32" s="37"/>
      <c r="K32" s="37"/>
    </row>
    <row r="33" spans="1:11" ht="15" customHeight="1">
      <c r="A33" s="38"/>
      <c r="B33" s="38" t="s">
        <v>101</v>
      </c>
      <c r="C33" s="50"/>
      <c r="D33" s="50"/>
      <c r="E33" s="50"/>
      <c r="F33" s="50"/>
      <c r="G33" s="50"/>
      <c r="H33" s="38"/>
      <c r="J33" s="37"/>
      <c r="K33" s="37"/>
    </row>
    <row r="34" spans="1:11" ht="15" customHeight="1">
      <c r="A34" s="38"/>
      <c r="B34" s="50"/>
      <c r="C34" s="50"/>
      <c r="D34" s="50"/>
      <c r="E34" s="50"/>
      <c r="F34" s="50"/>
      <c r="G34" s="50"/>
      <c r="H34" s="38"/>
      <c r="J34" s="37"/>
      <c r="K34" s="37"/>
    </row>
  </sheetData>
  <sheetProtection algorithmName="SHA-512" hashValue="3YF87y6N5LTeCBqstc+Owzgp85r9WR6hfPYVYu63qvXObyeYnQq3/QEP/B9mXJ4+yKjDrGVb/NhS3LJnAg22gQ==" saltValue="6JpwG6YOMYKoqJ9s1W9bFA==" spinCount="100000" sheet="1" objects="1" scenarios="1"/>
  <mergeCells count="6">
    <mergeCell ref="B15:F15"/>
    <mergeCell ref="B28:G29"/>
    <mergeCell ref="B17:C17"/>
    <mergeCell ref="B20:C20"/>
    <mergeCell ref="B25:F25"/>
    <mergeCell ref="E17:H18"/>
  </mergeCells>
  <dataValidations count="6">
    <dataValidation type="whole" allowBlank="1" showInputMessage="1" showErrorMessage="1" sqref="D23">
      <formula1>0</formula1>
      <formula2>100</formula2>
    </dataValidation>
    <dataValidation type="whole" allowBlank="1" showInputMessage="1" showErrorMessage="1" sqref="D24">
      <formula1>0</formula1>
      <formula2>200</formula2>
    </dataValidation>
    <dataValidation type="whole" allowBlank="1" showInputMessage="1" showErrorMessage="1" sqref="D22">
      <formula1>0</formula1>
      <formula2>50</formula2>
    </dataValidation>
    <dataValidation type="list" allowBlank="1" showInputMessage="1" showErrorMessage="1" sqref="B24">
      <formula1>Steuerung!$F$27:$F$32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4">
    <tabColor theme="0" tint="-0.1499900072813034"/>
    <pageSetUpPr fitToPage="1"/>
  </sheetPr>
  <dimension ref="A1:S40"/>
  <sheetViews>
    <sheetView workbookViewId="0" topLeftCell="A1">
      <selection activeCell="F33" sqref="F33"/>
    </sheetView>
  </sheetViews>
  <sheetFormatPr defaultColWidth="0" defaultRowHeight="12.75" zeroHeight="1"/>
  <cols>
    <col min="1" max="1" width="16.57421875" style="36" customWidth="1"/>
    <col min="2" max="2" width="9.00390625" style="36" customWidth="1"/>
    <col min="3" max="3" width="11.8515625" style="36" customWidth="1"/>
    <col min="4" max="4" width="9.7109375" style="36" customWidth="1"/>
    <col min="5" max="5" width="9.00390625" style="36" customWidth="1"/>
    <col min="6" max="6" width="12.57421875" style="36" customWidth="1"/>
    <col min="7" max="7" width="12.8515625" style="36" customWidth="1"/>
    <col min="8" max="8" width="16.140625" style="36" customWidth="1"/>
    <col min="9" max="9" width="11.421875" style="36" hidden="1" customWidth="1"/>
    <col min="10" max="10" width="14.8515625" style="36" hidden="1" customWidth="1"/>
    <col min="11" max="11" width="11.421875" style="36" hidden="1" customWidth="1"/>
    <col min="12" max="12" width="19.7109375" style="36" hidden="1" customWidth="1"/>
    <col min="13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ht="15.75">
      <c r="A4" s="35"/>
      <c r="B4" s="91" t="s">
        <v>74</v>
      </c>
      <c r="C4" s="35"/>
      <c r="D4" s="35"/>
      <c r="E4" s="35"/>
      <c r="F4" s="35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ht="15" customHeight="1">
      <c r="A11" s="56"/>
      <c r="B11" s="39" t="s">
        <v>35</v>
      </c>
      <c r="C11" s="56"/>
      <c r="D11" s="56"/>
      <c r="E11" s="56"/>
      <c r="F11" s="56"/>
      <c r="G11" s="40">
        <v>1988</v>
      </c>
      <c r="H11" s="56"/>
      <c r="J11" s="41">
        <f>YEAR(G13)-G11</f>
        <v>32</v>
      </c>
      <c r="K11" s="37"/>
    </row>
    <row r="12" spans="1:1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ht="15" customHeight="1">
      <c r="A13" s="56"/>
      <c r="B13" s="39" t="s">
        <v>36</v>
      </c>
      <c r="C13" s="56"/>
      <c r="D13" s="56"/>
      <c r="E13" s="56"/>
      <c r="F13" s="56"/>
      <c r="G13" s="42">
        <v>43831</v>
      </c>
      <c r="H13" s="56"/>
      <c r="J13" s="37"/>
      <c r="K13" s="37"/>
    </row>
    <row r="14" spans="1:1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</row>
    <row r="15" spans="1:11" ht="15" customHeight="1">
      <c r="A15" s="56"/>
      <c r="B15" s="112" t="s">
        <v>108</v>
      </c>
      <c r="C15" s="105"/>
      <c r="D15" s="105"/>
      <c r="E15" s="105"/>
      <c r="F15" s="126"/>
      <c r="G15" s="43">
        <v>60000</v>
      </c>
      <c r="H15" s="56"/>
      <c r="J15" s="62" t="s">
        <v>40</v>
      </c>
      <c r="K15" s="62">
        <f>G15/12</f>
        <v>5000</v>
      </c>
    </row>
    <row r="16" spans="1:11" ht="15" customHeight="1" hidden="1">
      <c r="A16" s="56"/>
      <c r="B16" s="56"/>
      <c r="C16" s="56"/>
      <c r="D16" s="56"/>
      <c r="E16" s="56"/>
      <c r="F16" s="56"/>
      <c r="G16" s="56"/>
      <c r="H16" s="56"/>
      <c r="J16" s="60" t="s">
        <v>45</v>
      </c>
      <c r="K16" s="62">
        <f>K15*0.7</f>
        <v>3500</v>
      </c>
    </row>
    <row r="17" spans="1:11" ht="15" customHeight="1" hidden="1">
      <c r="A17" s="56"/>
      <c r="B17" s="127"/>
      <c r="C17" s="128"/>
      <c r="D17" s="128"/>
      <c r="E17" s="128"/>
      <c r="F17" s="128"/>
      <c r="G17" s="56"/>
      <c r="H17" s="56"/>
      <c r="J17" s="37" t="s">
        <v>41</v>
      </c>
      <c r="K17" s="37">
        <f>IF(K16&lt;Steuerung!F2,K16,Steuerung!F2)</f>
        <v>3281.25</v>
      </c>
    </row>
    <row r="18" spans="1:11" ht="15" customHeight="1" hidden="1">
      <c r="A18" s="56"/>
      <c r="B18" s="56"/>
      <c r="C18" s="56"/>
      <c r="D18" s="56"/>
      <c r="E18" s="56"/>
      <c r="F18" s="56"/>
      <c r="G18" s="56"/>
      <c r="H18" s="56"/>
      <c r="J18" s="37" t="s">
        <v>69</v>
      </c>
      <c r="K18" s="59">
        <f>IF(K15&lt;Steuerung!F7/12,K15*0.8*Steuerung!F5*2,Steuerung!F7/12*0.8*Steuerung!F5*2)</f>
        <v>133.125</v>
      </c>
    </row>
    <row r="19" spans="1:11" ht="15" customHeight="1">
      <c r="A19" s="56"/>
      <c r="B19" s="103" t="s">
        <v>66</v>
      </c>
      <c r="C19" s="104"/>
      <c r="D19" s="104"/>
      <c r="E19" s="104"/>
      <c r="F19" s="104"/>
      <c r="G19" s="104"/>
      <c r="H19" s="56"/>
      <c r="J19" s="37" t="s">
        <v>65</v>
      </c>
      <c r="K19" s="62">
        <f>0.8*K15</f>
        <v>4000</v>
      </c>
    </row>
    <row r="20" spans="1:11" ht="15" customHeight="1">
      <c r="A20" s="56"/>
      <c r="B20" s="114"/>
      <c r="C20" s="114"/>
      <c r="D20" s="114"/>
      <c r="E20" s="114"/>
      <c r="F20" s="114"/>
      <c r="G20" s="114"/>
      <c r="H20" s="56"/>
      <c r="J20" s="37" t="s">
        <v>44</v>
      </c>
      <c r="K20" s="62">
        <f>K19-K17+K18</f>
        <v>851.875</v>
      </c>
    </row>
    <row r="21" spans="1:11" ht="15" customHeight="1">
      <c r="A21" s="56"/>
      <c r="B21" s="56"/>
      <c r="C21" s="135" t="s">
        <v>67</v>
      </c>
      <c r="D21" s="56"/>
      <c r="E21" s="137" t="s">
        <v>68</v>
      </c>
      <c r="F21" s="105"/>
      <c r="G21" s="105"/>
      <c r="H21" s="56"/>
      <c r="J21" s="37" t="s">
        <v>43</v>
      </c>
      <c r="K21" s="62">
        <f>K20/30</f>
        <v>28.395833333333332</v>
      </c>
    </row>
    <row r="22" spans="1:11" ht="15" customHeight="1">
      <c r="A22" s="56"/>
      <c r="B22" s="56"/>
      <c r="C22" s="136"/>
      <c r="D22" s="56"/>
      <c r="E22" s="138"/>
      <c r="F22" s="105"/>
      <c r="G22" s="105"/>
      <c r="H22" s="56"/>
      <c r="J22" s="37"/>
      <c r="K22" s="37">
        <f>ROUNDUP((K21)*2,-1)/2</f>
        <v>30</v>
      </c>
    </row>
    <row r="23" spans="1:19" ht="15" customHeight="1">
      <c r="A23" s="56"/>
      <c r="B23" s="56"/>
      <c r="C23" s="56"/>
      <c r="D23" s="56"/>
      <c r="E23" s="56"/>
      <c r="F23" s="56"/>
      <c r="G23" s="56"/>
      <c r="H23" s="56"/>
      <c r="J23" s="37"/>
      <c r="K23" s="37"/>
      <c r="Q23" s="45"/>
      <c r="R23" s="45"/>
      <c r="S23" s="45"/>
    </row>
    <row r="24" spans="1:11" ht="15" customHeight="1">
      <c r="A24" s="56"/>
      <c r="B24" s="112" t="s">
        <v>60</v>
      </c>
      <c r="C24" s="105"/>
      <c r="D24" s="46">
        <f>IF(K24=1,K26,K27)</f>
        <v>30</v>
      </c>
      <c r="E24" s="120" t="str">
        <f>IF(D24&gt;200,"ACHTUNG: versicherbar sind nur 200 €!","")</f>
        <v/>
      </c>
      <c r="F24" s="134"/>
      <c r="G24" s="134"/>
      <c r="H24" s="105"/>
      <c r="J24" s="62"/>
      <c r="K24" s="79">
        <v>1</v>
      </c>
    </row>
    <row r="25" spans="1:11" ht="15" customHeight="1">
      <c r="A25" s="56"/>
      <c r="B25" s="56"/>
      <c r="C25" s="56"/>
      <c r="D25" s="56"/>
      <c r="E25" s="134"/>
      <c r="F25" s="134"/>
      <c r="G25" s="134"/>
      <c r="H25" s="105"/>
      <c r="J25" s="62"/>
      <c r="K25" s="62"/>
    </row>
    <row r="26" spans="1:11" ht="15" customHeight="1">
      <c r="A26" s="56"/>
      <c r="B26" s="112" t="s">
        <v>37</v>
      </c>
      <c r="C26" s="105"/>
      <c r="D26" s="49" t="s">
        <v>39</v>
      </c>
      <c r="E26" s="56"/>
      <c r="F26" s="66" t="s">
        <v>38</v>
      </c>
      <c r="G26" s="56"/>
      <c r="H26" s="56"/>
      <c r="J26" s="60" t="s">
        <v>70</v>
      </c>
      <c r="K26" s="62">
        <f>K22</f>
        <v>30</v>
      </c>
    </row>
    <row r="27" spans="1:11" ht="15" customHeight="1">
      <c r="A27" s="56"/>
      <c r="B27" s="64"/>
      <c r="C27" s="50"/>
      <c r="D27" s="67" t="s">
        <v>62</v>
      </c>
      <c r="E27" s="56"/>
      <c r="F27" s="58"/>
      <c r="G27" s="56"/>
      <c r="H27" s="56"/>
      <c r="J27" s="37" t="s">
        <v>71</v>
      </c>
      <c r="K27" s="62">
        <f>ROUNDUP((K19/30)*2,-1)/2</f>
        <v>135</v>
      </c>
    </row>
    <row r="28" spans="1:11" ht="15" customHeight="1">
      <c r="A28" s="56"/>
      <c r="B28" s="39" t="s">
        <v>52</v>
      </c>
      <c r="C28" s="56"/>
      <c r="D28" s="43">
        <v>30</v>
      </c>
      <c r="E28" s="56"/>
      <c r="F28" s="68">
        <f>J32*K32</f>
        <v>14.399999999999999</v>
      </c>
      <c r="G28" s="56"/>
      <c r="H28" s="56"/>
      <c r="J28" s="37"/>
      <c r="K28" s="62"/>
    </row>
    <row r="29" spans="1:11" ht="15" customHeight="1">
      <c r="A29" s="56"/>
      <c r="B29" s="39" t="s">
        <v>55</v>
      </c>
      <c r="C29" s="56"/>
      <c r="D29" s="43">
        <v>0</v>
      </c>
      <c r="E29" s="56"/>
      <c r="F29" s="68">
        <f>J33*K33</f>
        <v>0</v>
      </c>
      <c r="G29" s="56"/>
      <c r="H29" s="56"/>
      <c r="J29" s="37" t="s">
        <v>72</v>
      </c>
      <c r="K29" s="62">
        <f>D24</f>
        <v>30</v>
      </c>
    </row>
    <row r="30" spans="1:11" ht="15" customHeight="1">
      <c r="A30" s="56"/>
      <c r="B30" s="69" t="s">
        <v>32</v>
      </c>
      <c r="C30" s="56"/>
      <c r="D30" s="43">
        <v>0</v>
      </c>
      <c r="E30" s="56"/>
      <c r="F30" s="68">
        <f>J34*K34</f>
        <v>0</v>
      </c>
      <c r="G30" s="56"/>
      <c r="H30" s="56"/>
      <c r="J30" s="41">
        <f>VLOOKUP(B30,Steuerung!F27:G32,2,FALSE)+2</f>
        <v>7</v>
      </c>
      <c r="K30" s="88"/>
    </row>
    <row r="31" spans="1:11" ht="15" customHeight="1">
      <c r="A31" s="56"/>
      <c r="B31" s="122" t="str">
        <f>IF(L35&gt;0,"KT-Höhe bitte in 5 €-Schritten wählen!","")</f>
        <v/>
      </c>
      <c r="C31" s="123"/>
      <c r="D31" s="123"/>
      <c r="E31" s="123"/>
      <c r="F31" s="123"/>
      <c r="G31" s="56"/>
      <c r="H31" s="56"/>
      <c r="J31" s="41"/>
      <c r="K31" s="37"/>
    </row>
    <row r="32" spans="1:12" ht="15" customHeight="1">
      <c r="A32" s="56"/>
      <c r="B32" s="39" t="s">
        <v>61</v>
      </c>
      <c r="C32" s="56"/>
      <c r="D32" s="46">
        <f>D28+D29+D30</f>
        <v>30</v>
      </c>
      <c r="E32" s="56"/>
      <c r="F32" s="71">
        <f>F28+F29+F30</f>
        <v>14.399999999999999</v>
      </c>
      <c r="G32" s="56"/>
      <c r="H32" s="56"/>
      <c r="J32" s="52">
        <f>D28/5</f>
        <v>6</v>
      </c>
      <c r="K32" s="37">
        <f>VLOOKUP(J11,'KT-Beiträge F'!A:B,2,FALSE)</f>
        <v>2.4</v>
      </c>
      <c r="L32" s="37">
        <f>IF(INT(J32)=J32,0,1)</f>
        <v>0</v>
      </c>
    </row>
    <row r="33" spans="1:12" ht="15" customHeight="1">
      <c r="A33" s="56"/>
      <c r="B33" s="56"/>
      <c r="C33" s="56"/>
      <c r="D33" s="56"/>
      <c r="E33" s="56"/>
      <c r="F33" s="56"/>
      <c r="G33" s="56"/>
      <c r="H33" s="56"/>
      <c r="J33" s="52">
        <f>D29/5</f>
        <v>0</v>
      </c>
      <c r="K33" s="37">
        <f>VLOOKUP(J11,'KT-Beiträge F'!A:C,3,FALSE)</f>
        <v>2.58</v>
      </c>
      <c r="L33" s="37">
        <f>IF(INT(J33)=J33,0,1)</f>
        <v>0</v>
      </c>
    </row>
    <row r="34" spans="1:12" ht="15" customHeight="1">
      <c r="A34" s="56"/>
      <c r="B34" s="120" t="str">
        <f>IF(D32&gt;200,"Versicherbares Höchsttagegeld überschritten, bitte auf insgesamt 200 € reduzieren.",IF(D32&gt;D24,(CONCATENATE("Versicherbares Tagegeld (Nettoeinkommen) überschritten, bitte auf insgesamt ",D24," € reduzieren.")),IF(D24&gt;D32,(CONCATENATE("ACHTUNG Absicherungslücke in Höhe von ",D24-D32," €!")),"")))</f>
        <v/>
      </c>
      <c r="C34" s="134"/>
      <c r="D34" s="134"/>
      <c r="E34" s="134"/>
      <c r="F34" s="134"/>
      <c r="G34" s="134"/>
      <c r="H34" s="56"/>
      <c r="J34" s="52">
        <f>D30/5</f>
        <v>0</v>
      </c>
      <c r="K34" s="37">
        <f>VLOOKUP(J11,'KT-Beiträge F'!A:I,J30,FALSE)</f>
        <v>0.39</v>
      </c>
      <c r="L34" s="37">
        <f>IF(INT(J34)=J34,0,1)</f>
        <v>0</v>
      </c>
    </row>
    <row r="35" spans="1:12" ht="15" customHeight="1">
      <c r="A35" s="56"/>
      <c r="B35" s="134"/>
      <c r="C35" s="134"/>
      <c r="D35" s="134"/>
      <c r="E35" s="134"/>
      <c r="F35" s="134"/>
      <c r="G35" s="134"/>
      <c r="H35" s="56"/>
      <c r="J35" s="52"/>
      <c r="K35" s="37"/>
      <c r="L35" s="37">
        <f>L32+L33+L34</f>
        <v>0</v>
      </c>
    </row>
    <row r="36" spans="1:12" ht="15" customHeight="1">
      <c r="A36" s="38"/>
      <c r="B36" s="50"/>
      <c r="C36" s="50"/>
      <c r="D36" s="50"/>
      <c r="E36" s="50"/>
      <c r="F36" s="50"/>
      <c r="G36" s="50"/>
      <c r="H36" s="38"/>
      <c r="J36" s="52"/>
      <c r="K36" s="37"/>
      <c r="L36" s="89"/>
    </row>
    <row r="37" spans="1:12" ht="15" customHeight="1">
      <c r="A37" s="38"/>
      <c r="B37" s="50"/>
      <c r="C37" s="50"/>
      <c r="D37" s="50"/>
      <c r="E37" s="50"/>
      <c r="F37" s="50"/>
      <c r="G37" s="50"/>
      <c r="H37" s="38"/>
      <c r="J37" s="52"/>
      <c r="K37" s="37"/>
      <c r="L37" s="89"/>
    </row>
    <row r="38" spans="1:12" ht="15" customHeight="1">
      <c r="A38" s="38"/>
      <c r="B38" s="50"/>
      <c r="C38" s="50"/>
      <c r="D38" s="50"/>
      <c r="E38" s="50"/>
      <c r="F38" s="50"/>
      <c r="G38" s="50"/>
      <c r="H38" s="38"/>
      <c r="J38" s="52"/>
      <c r="K38" s="37"/>
      <c r="L38" s="89"/>
    </row>
    <row r="39" spans="1:12" ht="15" customHeight="1">
      <c r="A39" s="38"/>
      <c r="B39" s="38" t="s">
        <v>101</v>
      </c>
      <c r="C39" s="50"/>
      <c r="D39" s="50"/>
      <c r="E39" s="50"/>
      <c r="F39" s="50"/>
      <c r="G39" s="50"/>
      <c r="H39" s="38"/>
      <c r="J39" s="52"/>
      <c r="K39" s="37"/>
      <c r="L39" s="89"/>
    </row>
    <row r="40" spans="1:11" ht="15" customHeight="1">
      <c r="A40" s="38"/>
      <c r="B40" s="50"/>
      <c r="C40" s="50"/>
      <c r="D40" s="50"/>
      <c r="E40" s="50"/>
      <c r="F40" s="50"/>
      <c r="G40" s="50"/>
      <c r="H40" s="38"/>
      <c r="J40" s="37"/>
      <c r="K40" s="37"/>
    </row>
  </sheetData>
  <sheetProtection algorithmName="SHA-512" hashValue="RWVXgfVoNVeifA5LF93csaKzgdFX7dcAOUoo+ZuGAiVJ1B6PgVfGLNCBxVJxhmm54xABh3rpvdj0kxcVqN5XWw==" saltValue="UeVYCpLuC/VxoBjreMZ8wQ==" spinCount="100000" sheet="1" objects="1" scenarios="1"/>
  <mergeCells count="10">
    <mergeCell ref="B26:C26"/>
    <mergeCell ref="B31:F31"/>
    <mergeCell ref="B34:G35"/>
    <mergeCell ref="B15:F15"/>
    <mergeCell ref="B17:F17"/>
    <mergeCell ref="B19:G20"/>
    <mergeCell ref="C21:C22"/>
    <mergeCell ref="E21:G22"/>
    <mergeCell ref="B24:C24"/>
    <mergeCell ref="E24:H25"/>
  </mergeCells>
  <dataValidations count="6">
    <dataValidation type="whole" allowBlank="1" showInputMessage="1" showErrorMessage="1" sqref="D28">
      <formula1>0</formula1>
      <formula2>50</formula2>
    </dataValidation>
    <dataValidation type="whole" allowBlank="1" showInputMessage="1" showErrorMessage="1" sqref="D30">
      <formula1>0</formula1>
      <formula2>200</formula2>
    </dataValidation>
    <dataValidation type="whole" allowBlank="1" showInputMessage="1" showErrorMessage="1" sqref="D29">
      <formula1>0</formula1>
      <formula2>100</formula2>
    </dataValidation>
    <dataValidation type="list" allowBlank="1" showInputMessage="1" showErrorMessage="1" sqref="B30">
      <formula1>Steuerung!$F$27:$F$32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1" r:id="rId6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6">
    <tabColor theme="0" tint="-0.1499900072813034"/>
    <pageSetUpPr fitToPage="1"/>
  </sheetPr>
  <dimension ref="A1:R44"/>
  <sheetViews>
    <sheetView workbookViewId="0" topLeftCell="A4">
      <selection activeCell="F13" sqref="F13"/>
    </sheetView>
  </sheetViews>
  <sheetFormatPr defaultColWidth="0" defaultRowHeight="12.75" zeroHeight="1"/>
  <cols>
    <col min="1" max="1" width="15.7109375" style="36" customWidth="1"/>
    <col min="2" max="2" width="8.140625" style="36" customWidth="1"/>
    <col min="3" max="3" width="9.421875" style="36" customWidth="1"/>
    <col min="4" max="4" width="12.57421875" style="36" customWidth="1"/>
    <col min="5" max="5" width="11.8515625" style="36" customWidth="1"/>
    <col min="6" max="6" width="17.140625" style="36" customWidth="1"/>
    <col min="7" max="7" width="14.8515625" style="36" customWidth="1"/>
    <col min="8" max="10" width="11.421875" style="36" hidden="1" customWidth="1"/>
    <col min="11" max="11" width="19.7109375" style="36" hidden="1" customWidth="1"/>
    <col min="12" max="18" width="0" style="36" hidden="1" customWidth="1"/>
    <col min="19" max="16384" width="11.421875" style="36" hidden="1" customWidth="1"/>
  </cols>
  <sheetData>
    <row r="1" spans="1:10" ht="12.75">
      <c r="A1" s="35"/>
      <c r="B1" s="35"/>
      <c r="C1" s="35"/>
      <c r="D1" s="35"/>
      <c r="E1" s="35"/>
      <c r="F1" s="35"/>
      <c r="G1" s="35"/>
      <c r="I1" s="37"/>
      <c r="J1" s="37"/>
    </row>
    <row r="2" spans="1:10" ht="12.75">
      <c r="A2" s="35"/>
      <c r="B2" s="35"/>
      <c r="C2" s="35"/>
      <c r="D2" s="35"/>
      <c r="E2" s="35"/>
      <c r="F2" s="35"/>
      <c r="G2" s="35"/>
      <c r="I2" s="37"/>
      <c r="J2" s="37"/>
    </row>
    <row r="3" spans="1:10" ht="20.25">
      <c r="A3" s="35"/>
      <c r="B3" s="90" t="s">
        <v>102</v>
      </c>
      <c r="C3" s="35"/>
      <c r="D3" s="35"/>
      <c r="E3" s="35"/>
      <c r="F3" s="35"/>
      <c r="G3" s="35"/>
      <c r="I3" s="37"/>
      <c r="J3" s="37"/>
    </row>
    <row r="4" spans="1:10" ht="15.75">
      <c r="A4" s="35"/>
      <c r="B4" s="91" t="s">
        <v>103</v>
      </c>
      <c r="C4" s="35"/>
      <c r="D4" s="35"/>
      <c r="E4" s="35"/>
      <c r="F4" s="35"/>
      <c r="G4" s="35"/>
      <c r="I4" s="37"/>
      <c r="J4" s="37"/>
    </row>
    <row r="5" spans="1:10" ht="12.75">
      <c r="A5" s="35"/>
      <c r="B5" s="35"/>
      <c r="C5" s="35"/>
      <c r="D5" s="35"/>
      <c r="E5" s="35"/>
      <c r="F5" s="35"/>
      <c r="G5" s="35"/>
      <c r="I5" s="37"/>
      <c r="J5" s="37"/>
    </row>
    <row r="6" spans="1:10" ht="12.75">
      <c r="A6" s="35"/>
      <c r="B6" s="35"/>
      <c r="C6" s="35"/>
      <c r="D6" s="35"/>
      <c r="E6" s="35"/>
      <c r="F6" s="35"/>
      <c r="G6" s="35"/>
      <c r="I6" s="37"/>
      <c r="J6" s="37"/>
    </row>
    <row r="7" spans="1:10" ht="12.75">
      <c r="A7" s="35"/>
      <c r="B7" s="35"/>
      <c r="C7" s="35"/>
      <c r="D7" s="35"/>
      <c r="E7" s="35"/>
      <c r="F7" s="35"/>
      <c r="G7" s="35"/>
      <c r="I7" s="37"/>
      <c r="J7" s="37"/>
    </row>
    <row r="8" spans="1:10" ht="12.75">
      <c r="A8" s="35"/>
      <c r="B8" s="35"/>
      <c r="C8" s="35"/>
      <c r="D8" s="35"/>
      <c r="E8" s="35"/>
      <c r="F8" s="35"/>
      <c r="G8" s="35"/>
      <c r="I8" s="37"/>
      <c r="J8" s="37"/>
    </row>
    <row r="9" spans="1:10" ht="15">
      <c r="A9" s="56"/>
      <c r="B9" s="56"/>
      <c r="C9" s="56"/>
      <c r="D9" s="56"/>
      <c r="E9" s="56"/>
      <c r="F9" s="56"/>
      <c r="G9" s="56"/>
      <c r="I9" s="37"/>
      <c r="J9" s="37"/>
    </row>
    <row r="10" spans="1:10" ht="15">
      <c r="A10" s="56"/>
      <c r="B10" s="56"/>
      <c r="C10" s="56"/>
      <c r="D10" s="56"/>
      <c r="E10" s="56"/>
      <c r="F10" s="56"/>
      <c r="G10" s="56"/>
      <c r="I10" s="37"/>
      <c r="J10" s="37"/>
    </row>
    <row r="11" spans="1:10" ht="15">
      <c r="A11" s="56"/>
      <c r="B11" s="39" t="s">
        <v>35</v>
      </c>
      <c r="C11" s="56"/>
      <c r="D11" s="56"/>
      <c r="E11" s="56"/>
      <c r="F11" s="40">
        <v>1979</v>
      </c>
      <c r="G11" s="56"/>
      <c r="I11" s="41">
        <f>YEAR(F13)-F11</f>
        <v>38</v>
      </c>
      <c r="J11" s="37"/>
    </row>
    <row r="12" spans="1:10" ht="15">
      <c r="A12" s="56"/>
      <c r="B12" s="56"/>
      <c r="C12" s="56"/>
      <c r="D12" s="56"/>
      <c r="E12" s="56"/>
      <c r="F12" s="56"/>
      <c r="G12" s="56"/>
      <c r="I12" s="37"/>
      <c r="J12" s="37"/>
    </row>
    <row r="13" spans="1:10" ht="15">
      <c r="A13" s="56"/>
      <c r="B13" s="39" t="s">
        <v>36</v>
      </c>
      <c r="C13" s="56"/>
      <c r="D13" s="56"/>
      <c r="E13" s="56"/>
      <c r="F13" s="42">
        <v>42736</v>
      </c>
      <c r="G13" s="56"/>
      <c r="I13" s="37"/>
      <c r="J13" s="37"/>
    </row>
    <row r="14" spans="1:10" ht="15">
      <c r="A14" s="56"/>
      <c r="B14" s="56"/>
      <c r="C14" s="56"/>
      <c r="D14" s="56"/>
      <c r="E14" s="56"/>
      <c r="F14" s="56"/>
      <c r="G14" s="56"/>
      <c r="I14" s="37"/>
      <c r="J14" s="37"/>
    </row>
    <row r="15" spans="1:10" ht="15">
      <c r="A15" s="56"/>
      <c r="B15" s="56"/>
      <c r="C15" s="56"/>
      <c r="D15" s="56"/>
      <c r="E15" s="56"/>
      <c r="F15" s="56"/>
      <c r="G15" s="56"/>
      <c r="I15" s="37"/>
      <c r="J15" s="37"/>
    </row>
    <row r="16" spans="1:10" ht="15">
      <c r="A16" s="56"/>
      <c r="B16" s="39" t="s">
        <v>20</v>
      </c>
      <c r="C16" s="56"/>
      <c r="D16" s="56"/>
      <c r="E16" s="56"/>
      <c r="F16" s="43">
        <v>8000</v>
      </c>
      <c r="G16" s="56"/>
      <c r="I16" s="37"/>
      <c r="J16" s="37"/>
    </row>
    <row r="17" spans="1:10" ht="6.75" customHeight="1">
      <c r="A17" s="56"/>
      <c r="B17" s="56"/>
      <c r="C17" s="56"/>
      <c r="D17" s="56"/>
      <c r="E17" s="56"/>
      <c r="F17" s="58"/>
      <c r="G17" s="56"/>
      <c r="I17" s="37"/>
      <c r="J17" s="37"/>
    </row>
    <row r="18" spans="1:10" ht="15">
      <c r="A18" s="56"/>
      <c r="B18" s="56"/>
      <c r="C18" s="56"/>
      <c r="D18" s="56"/>
      <c r="E18" s="56"/>
      <c r="F18" s="58" t="s">
        <v>24</v>
      </c>
      <c r="G18" s="56"/>
      <c r="I18" s="37"/>
      <c r="J18" s="37"/>
    </row>
    <row r="19" spans="1:10" ht="6.75" customHeight="1">
      <c r="A19" s="56"/>
      <c r="B19" s="56"/>
      <c r="C19" s="56"/>
      <c r="D19" s="56"/>
      <c r="E19" s="56"/>
      <c r="F19" s="58"/>
      <c r="G19" s="56"/>
      <c r="I19" s="37"/>
      <c r="J19" s="37"/>
    </row>
    <row r="20" spans="1:10" ht="15">
      <c r="A20" s="56"/>
      <c r="B20" s="39" t="s">
        <v>21</v>
      </c>
      <c r="C20" s="56"/>
      <c r="D20" s="56"/>
      <c r="E20" s="56"/>
      <c r="F20" s="44">
        <v>13.5</v>
      </c>
      <c r="G20" s="56"/>
      <c r="I20" s="37"/>
      <c r="J20" s="37"/>
    </row>
    <row r="21" spans="1:10" ht="15">
      <c r="A21" s="56"/>
      <c r="B21" s="113" t="s">
        <v>22</v>
      </c>
      <c r="C21" s="114"/>
      <c r="D21" s="114"/>
      <c r="E21" s="114"/>
      <c r="F21" s="58"/>
      <c r="G21" s="56"/>
      <c r="I21" s="37"/>
      <c r="J21" s="37"/>
    </row>
    <row r="22" spans="1:10" ht="15">
      <c r="A22" s="56"/>
      <c r="B22" s="114"/>
      <c r="C22" s="114"/>
      <c r="D22" s="114"/>
      <c r="E22" s="114"/>
      <c r="F22" s="58" t="s">
        <v>25</v>
      </c>
      <c r="G22" s="56"/>
      <c r="I22" s="37"/>
      <c r="J22" s="37"/>
    </row>
    <row r="23" spans="1:18" ht="15">
      <c r="A23" s="56"/>
      <c r="B23" s="56"/>
      <c r="C23" s="56"/>
      <c r="D23" s="56"/>
      <c r="E23" s="56"/>
      <c r="F23" s="58"/>
      <c r="G23" s="56"/>
      <c r="I23" s="37"/>
      <c r="J23" s="37"/>
      <c r="P23" s="45"/>
      <c r="Q23" s="45"/>
      <c r="R23" s="45"/>
    </row>
    <row r="24" spans="1:10" ht="15">
      <c r="A24" s="56"/>
      <c r="B24" s="39" t="s">
        <v>23</v>
      </c>
      <c r="C24" s="56"/>
      <c r="D24" s="56"/>
      <c r="E24" s="56"/>
      <c r="F24" s="46">
        <f>F16*F20</f>
        <v>108000</v>
      </c>
      <c r="G24" s="56"/>
      <c r="I24" s="37"/>
      <c r="J24" s="37"/>
    </row>
    <row r="25" spans="1:10" ht="15">
      <c r="A25" s="56"/>
      <c r="B25" s="56"/>
      <c r="C25" s="56"/>
      <c r="D25" s="56"/>
      <c r="E25" s="56"/>
      <c r="F25" s="56"/>
      <c r="G25" s="56"/>
      <c r="I25" s="37"/>
      <c r="J25" s="37"/>
    </row>
    <row r="26" spans="1:10" ht="15">
      <c r="A26" s="56"/>
      <c r="B26" s="56"/>
      <c r="C26" s="56"/>
      <c r="D26" s="56"/>
      <c r="E26" s="56"/>
      <c r="F26" s="56"/>
      <c r="G26" s="56"/>
      <c r="I26" s="37"/>
      <c r="J26" s="37"/>
    </row>
    <row r="27" spans="1:10" ht="15">
      <c r="A27" s="56"/>
      <c r="B27" s="39" t="s">
        <v>26</v>
      </c>
      <c r="C27" s="56"/>
      <c r="D27" s="56"/>
      <c r="E27" s="56"/>
      <c r="F27" s="56"/>
      <c r="G27" s="56"/>
      <c r="I27" s="37"/>
      <c r="J27" s="37"/>
    </row>
    <row r="28" spans="1:10" ht="15">
      <c r="A28" s="56"/>
      <c r="B28" s="56"/>
      <c r="C28" s="56"/>
      <c r="D28" s="56"/>
      <c r="E28" s="56"/>
      <c r="F28" s="56"/>
      <c r="G28" s="56"/>
      <c r="I28" s="37"/>
      <c r="J28" s="37"/>
    </row>
    <row r="29" spans="1:10" ht="15">
      <c r="A29" s="56"/>
      <c r="B29" s="109" t="s">
        <v>90</v>
      </c>
      <c r="C29" s="110"/>
      <c r="D29" s="110"/>
      <c r="E29" s="111"/>
      <c r="F29" s="56"/>
      <c r="G29" s="56"/>
      <c r="I29" s="37"/>
      <c r="J29" s="37">
        <f>(ROUNDUP((F24*0.8/365)*2,-1)/2)</f>
        <v>240</v>
      </c>
    </row>
    <row r="30" spans="1:10" ht="15">
      <c r="A30" s="56"/>
      <c r="B30" s="56"/>
      <c r="C30" s="56"/>
      <c r="D30" s="56"/>
      <c r="E30" s="56"/>
      <c r="F30" s="56"/>
      <c r="G30" s="56"/>
      <c r="I30" s="37"/>
      <c r="J30" s="37"/>
    </row>
    <row r="31" spans="1:10" ht="15">
      <c r="A31" s="56"/>
      <c r="B31" s="56"/>
      <c r="C31" s="56"/>
      <c r="D31" s="56"/>
      <c r="E31" s="56"/>
      <c r="F31" s="56"/>
      <c r="G31" s="56"/>
      <c r="I31" s="37"/>
      <c r="J31" s="37"/>
    </row>
    <row r="32" spans="1:10" ht="15">
      <c r="A32" s="56"/>
      <c r="B32" s="112" t="s">
        <v>28</v>
      </c>
      <c r="C32" s="105"/>
      <c r="D32" s="105"/>
      <c r="E32" s="47"/>
      <c r="F32" s="56"/>
      <c r="G32" s="56"/>
      <c r="I32" s="37"/>
      <c r="J32" s="37"/>
    </row>
    <row r="33" spans="1:10" ht="15">
      <c r="A33" s="56"/>
      <c r="B33" s="56"/>
      <c r="C33" s="56"/>
      <c r="D33" s="56"/>
      <c r="E33" s="56"/>
      <c r="F33" s="56"/>
      <c r="G33" s="56"/>
      <c r="I33" s="37" t="e">
        <f>VLOOKUP(B35,Steuerung!D27:E32,2,FALSE)</f>
        <v>#N/A</v>
      </c>
      <c r="J33" s="37"/>
    </row>
    <row r="34" spans="1:10" ht="15">
      <c r="A34" s="56"/>
      <c r="B34" s="48" t="s">
        <v>37</v>
      </c>
      <c r="C34" s="48"/>
      <c r="D34" s="48" t="s">
        <v>39</v>
      </c>
      <c r="E34" s="48"/>
      <c r="F34" s="66" t="s">
        <v>38</v>
      </c>
      <c r="G34" s="56"/>
      <c r="I34" s="37"/>
      <c r="J34" s="37"/>
    </row>
    <row r="35" spans="1:10" ht="15">
      <c r="A35" s="56"/>
      <c r="B35" s="48" t="e">
        <f>VLOOKUP(B29,Steuerung!A27:D32,4,FALSE)</f>
        <v>#N/A</v>
      </c>
      <c r="C35" s="50"/>
      <c r="D35" s="50">
        <f>IF((ROUNDUP((F24*0.8/365)*2,-1)/2)&gt;500,500,(ROUNDUP((F24*0.8/365)*2,-1)/2))</f>
        <v>240</v>
      </c>
      <c r="E35" s="51"/>
      <c r="F35" s="71" t="e">
        <f>I35*J35</f>
        <v>#REF!</v>
      </c>
      <c r="G35" s="56"/>
      <c r="I35" s="52">
        <f>D35/5</f>
        <v>48</v>
      </c>
      <c r="J35" s="37" t="e">
        <f>VLOOKUP(I11,'KT-Beiträge M'!A:J,'aA HAL'!I33,FALSE)</f>
        <v>#REF!</v>
      </c>
    </row>
    <row r="36" spans="1:10" ht="15">
      <c r="A36" s="56"/>
      <c r="B36" s="56"/>
      <c r="C36" s="56"/>
      <c r="D36" s="56"/>
      <c r="E36" s="56"/>
      <c r="F36" s="56"/>
      <c r="G36" s="56"/>
      <c r="I36" s="37"/>
      <c r="J36" s="37"/>
    </row>
    <row r="37" spans="1:10" ht="15" customHeight="1">
      <c r="A37" s="56"/>
      <c r="B37" s="115" t="str">
        <f>IF(J29&gt;500,(CONCATENATE("Der ermittelte Bedarf liegt mit ",J29," € ","über dem versicherbaren Höchsttagegeld. Die KT-Höhe wurde entsprechend begrenzt.")),"")</f>
        <v/>
      </c>
      <c r="C37" s="116"/>
      <c r="D37" s="116"/>
      <c r="E37" s="116"/>
      <c r="F37" s="116"/>
      <c r="G37" s="56"/>
      <c r="I37" s="37"/>
      <c r="J37" s="37"/>
    </row>
    <row r="38" spans="1:10" ht="15" customHeight="1">
      <c r="A38" s="56"/>
      <c r="B38" s="116"/>
      <c r="C38" s="116"/>
      <c r="D38" s="116"/>
      <c r="E38" s="116"/>
      <c r="F38" s="116"/>
      <c r="G38" s="56"/>
      <c r="I38" s="37"/>
      <c r="J38" s="37"/>
    </row>
    <row r="39" spans="1:10" ht="15" customHeight="1">
      <c r="A39" s="56"/>
      <c r="B39" s="117"/>
      <c r="C39" s="117"/>
      <c r="D39" s="117"/>
      <c r="E39" s="117"/>
      <c r="F39" s="117"/>
      <c r="G39" s="56"/>
      <c r="I39" s="37"/>
      <c r="J39" s="37"/>
    </row>
    <row r="40" spans="1:10" ht="15" customHeight="1">
      <c r="A40" s="38"/>
      <c r="B40" s="38"/>
      <c r="C40" s="38"/>
      <c r="D40" s="38"/>
      <c r="E40" s="38"/>
      <c r="F40" s="38"/>
      <c r="G40" s="38"/>
      <c r="I40" s="37"/>
      <c r="J40" s="37"/>
    </row>
    <row r="41" spans="1:10" ht="15" customHeight="1">
      <c r="A41" s="38"/>
      <c r="B41" s="38"/>
      <c r="C41" s="38"/>
      <c r="D41" s="38"/>
      <c r="E41" s="38"/>
      <c r="F41" s="38"/>
      <c r="G41" s="38"/>
      <c r="I41" s="37"/>
      <c r="J41" s="37"/>
    </row>
    <row r="42" spans="1:10" ht="15" customHeight="1">
      <c r="A42" s="38"/>
      <c r="B42" s="38"/>
      <c r="C42" s="38"/>
      <c r="D42" s="38"/>
      <c r="E42" s="38"/>
      <c r="F42" s="38"/>
      <c r="G42" s="38"/>
      <c r="I42" s="37"/>
      <c r="J42" s="37"/>
    </row>
    <row r="43" spans="1:10" ht="15" customHeight="1">
      <c r="A43" s="38"/>
      <c r="B43" s="38" t="s">
        <v>101</v>
      </c>
      <c r="C43" s="38"/>
      <c r="D43" s="38"/>
      <c r="E43" s="38"/>
      <c r="F43" s="38"/>
      <c r="G43" s="38"/>
      <c r="I43" s="37"/>
      <c r="J43" s="37"/>
    </row>
    <row r="44" spans="1:10" ht="12.75">
      <c r="A44" s="38"/>
      <c r="B44" s="38"/>
      <c r="C44" s="38"/>
      <c r="D44" s="38"/>
      <c r="E44" s="38"/>
      <c r="F44" s="38"/>
      <c r="G44" s="38"/>
      <c r="I44" s="37"/>
      <c r="J44" s="37"/>
    </row>
  </sheetData>
  <mergeCells count="4">
    <mergeCell ref="B21:E22"/>
    <mergeCell ref="B29:E29"/>
    <mergeCell ref="B32:D32"/>
    <mergeCell ref="B37:F39"/>
  </mergeCells>
  <dataValidations count="3">
    <dataValidation type="list" allowBlank="1" showInputMessage="1" showErrorMessage="1" sqref="F11">
      <formula1>Steuerung!$J$3:$J$52</formula1>
    </dataValidation>
    <dataValidation type="list" allowBlank="1" showInputMessage="1" showErrorMessage="1" sqref="F13">
      <formula1>Steuerung!$A$35:$A$46</formula1>
    </dataValidation>
    <dataValidation type="list" allowBlank="1" showInputMessage="1" showErrorMessage="1" sqref="B29">
      <formula1>Steuerung!$A$27:$A$32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tabColor theme="0" tint="-0.1499900072813034"/>
    <pageSetUpPr fitToPage="1"/>
  </sheetPr>
  <dimension ref="A1:R44"/>
  <sheetViews>
    <sheetView workbookViewId="0" topLeftCell="A1">
      <selection activeCell="H1" sqref="H1:XFD1048576"/>
    </sheetView>
  </sheetViews>
  <sheetFormatPr defaultColWidth="0" defaultRowHeight="12.75" zeroHeight="1"/>
  <cols>
    <col min="1" max="1" width="15.57421875" style="36" customWidth="1"/>
    <col min="2" max="2" width="8.140625" style="36" customWidth="1"/>
    <col min="3" max="3" width="10.00390625" style="36" customWidth="1"/>
    <col min="4" max="4" width="12.140625" style="36" customWidth="1"/>
    <col min="5" max="5" width="12.28125" style="36" customWidth="1"/>
    <col min="6" max="6" width="16.8515625" style="36" customWidth="1"/>
    <col min="7" max="7" width="16.421875" style="36" customWidth="1"/>
    <col min="8" max="8" width="11.421875" style="36" hidden="1" customWidth="1"/>
    <col min="9" max="9" width="14.8515625" style="36" hidden="1" customWidth="1"/>
    <col min="10" max="10" width="11.421875" style="36" hidden="1" customWidth="1"/>
    <col min="11" max="11" width="19.7109375" style="36" hidden="1" customWidth="1"/>
    <col min="12" max="16384" width="11.421875" style="36" hidden="1" customWidth="1"/>
  </cols>
  <sheetData>
    <row r="1" spans="1:10" ht="12.75">
      <c r="A1" s="35"/>
      <c r="B1" s="35"/>
      <c r="C1" s="35"/>
      <c r="D1" s="35"/>
      <c r="E1" s="35"/>
      <c r="F1" s="35"/>
      <c r="G1" s="35"/>
      <c r="I1" s="37"/>
      <c r="J1" s="37"/>
    </row>
    <row r="2" spans="1:10" ht="12.75">
      <c r="A2" s="35"/>
      <c r="B2" s="35"/>
      <c r="C2" s="35"/>
      <c r="D2" s="35"/>
      <c r="E2" s="35"/>
      <c r="F2" s="35"/>
      <c r="G2" s="35"/>
      <c r="I2" s="37"/>
      <c r="J2" s="37"/>
    </row>
    <row r="3" spans="1:10" ht="20.25">
      <c r="A3" s="35"/>
      <c r="B3" s="90" t="s">
        <v>102</v>
      </c>
      <c r="C3" s="35"/>
      <c r="D3" s="35"/>
      <c r="E3" s="35"/>
      <c r="F3" s="35"/>
      <c r="G3" s="35"/>
      <c r="I3" s="37"/>
      <c r="J3" s="37"/>
    </row>
    <row r="4" spans="1:10" ht="15.75">
      <c r="A4" s="35"/>
      <c r="B4" s="91" t="s">
        <v>104</v>
      </c>
      <c r="C4" s="35"/>
      <c r="D4" s="35"/>
      <c r="E4" s="35"/>
      <c r="F4" s="35"/>
      <c r="G4" s="35"/>
      <c r="I4" s="37"/>
      <c r="J4" s="37"/>
    </row>
    <row r="5" spans="1:10" ht="12.75">
      <c r="A5" s="35"/>
      <c r="B5" s="35"/>
      <c r="C5" s="35"/>
      <c r="D5" s="35"/>
      <c r="E5" s="35"/>
      <c r="F5" s="35"/>
      <c r="G5" s="35"/>
      <c r="I5" s="37"/>
      <c r="J5" s="37"/>
    </row>
    <row r="6" spans="1:10" ht="12.75">
      <c r="A6" s="35"/>
      <c r="B6" s="35"/>
      <c r="C6" s="35"/>
      <c r="D6" s="35"/>
      <c r="E6" s="35"/>
      <c r="F6" s="35"/>
      <c r="G6" s="35"/>
      <c r="I6" s="37"/>
      <c r="J6" s="37"/>
    </row>
    <row r="7" spans="1:10" ht="12.75">
      <c r="A7" s="35"/>
      <c r="B7" s="35"/>
      <c r="C7" s="35"/>
      <c r="D7" s="35"/>
      <c r="E7" s="35"/>
      <c r="F7" s="35"/>
      <c r="G7" s="35"/>
      <c r="I7" s="37"/>
      <c r="J7" s="37"/>
    </row>
    <row r="8" spans="1:10" ht="12.75">
      <c r="A8" s="35"/>
      <c r="B8" s="35"/>
      <c r="C8" s="35"/>
      <c r="D8" s="35"/>
      <c r="E8" s="35"/>
      <c r="F8" s="35"/>
      <c r="G8" s="35"/>
      <c r="I8" s="37"/>
      <c r="J8" s="37"/>
    </row>
    <row r="9" spans="1:10" ht="15">
      <c r="A9" s="56"/>
      <c r="B9" s="56"/>
      <c r="C9" s="56"/>
      <c r="D9" s="56"/>
      <c r="E9" s="56"/>
      <c r="F9" s="56"/>
      <c r="G9" s="56"/>
      <c r="I9" s="37"/>
      <c r="J9" s="37"/>
    </row>
    <row r="10" spans="1:10" ht="15">
      <c r="A10" s="56"/>
      <c r="B10" s="56"/>
      <c r="C10" s="56"/>
      <c r="D10" s="56"/>
      <c r="E10" s="56"/>
      <c r="F10" s="56"/>
      <c r="G10" s="56"/>
      <c r="I10" s="37"/>
      <c r="J10" s="37"/>
    </row>
    <row r="11" spans="1:10" ht="15">
      <c r="A11" s="56"/>
      <c r="B11" s="39" t="s">
        <v>35</v>
      </c>
      <c r="C11" s="56"/>
      <c r="D11" s="56"/>
      <c r="E11" s="56"/>
      <c r="F11" s="40">
        <v>1959</v>
      </c>
      <c r="G11" s="56"/>
      <c r="I11" s="41">
        <f>YEAR(F13)-F11</f>
        <v>58</v>
      </c>
      <c r="J11" s="37"/>
    </row>
    <row r="12" spans="1:10" ht="15">
      <c r="A12" s="56"/>
      <c r="B12" s="56"/>
      <c r="C12" s="56"/>
      <c r="D12" s="56"/>
      <c r="E12" s="56"/>
      <c r="F12" s="56"/>
      <c r="G12" s="56"/>
      <c r="I12" s="37"/>
      <c r="J12" s="37"/>
    </row>
    <row r="13" spans="1:10" ht="15">
      <c r="A13" s="56"/>
      <c r="B13" s="39" t="s">
        <v>36</v>
      </c>
      <c r="C13" s="56"/>
      <c r="D13" s="56"/>
      <c r="E13" s="56"/>
      <c r="F13" s="42">
        <v>42736</v>
      </c>
      <c r="G13" s="56"/>
      <c r="I13" s="37"/>
      <c r="J13" s="37"/>
    </row>
    <row r="14" spans="1:10" ht="15">
      <c r="A14" s="56"/>
      <c r="B14" s="56"/>
      <c r="C14" s="56"/>
      <c r="D14" s="56"/>
      <c r="E14" s="56"/>
      <c r="F14" s="56"/>
      <c r="G14" s="56"/>
      <c r="I14" s="37"/>
      <c r="J14" s="37"/>
    </row>
    <row r="15" spans="1:10" ht="15">
      <c r="A15" s="56"/>
      <c r="B15" s="56"/>
      <c r="C15" s="56"/>
      <c r="D15" s="56"/>
      <c r="E15" s="56"/>
      <c r="F15" s="56"/>
      <c r="G15" s="56"/>
      <c r="I15" s="37"/>
      <c r="J15" s="37"/>
    </row>
    <row r="16" spans="1:10" ht="15">
      <c r="A16" s="56"/>
      <c r="B16" s="39" t="s">
        <v>20</v>
      </c>
      <c r="C16" s="56"/>
      <c r="D16" s="56"/>
      <c r="E16" s="56"/>
      <c r="F16" s="43">
        <v>6000</v>
      </c>
      <c r="G16" s="56"/>
      <c r="I16" s="37"/>
      <c r="J16" s="37"/>
    </row>
    <row r="17" spans="1:10" ht="6.75" customHeight="1">
      <c r="A17" s="56"/>
      <c r="B17" s="56"/>
      <c r="C17" s="56"/>
      <c r="D17" s="56"/>
      <c r="E17" s="56"/>
      <c r="F17" s="58"/>
      <c r="G17" s="56"/>
      <c r="I17" s="37"/>
      <c r="J17" s="37"/>
    </row>
    <row r="18" spans="1:10" ht="15">
      <c r="A18" s="56"/>
      <c r="B18" s="56"/>
      <c r="C18" s="56"/>
      <c r="D18" s="56"/>
      <c r="E18" s="56"/>
      <c r="F18" s="58" t="s">
        <v>24</v>
      </c>
      <c r="G18" s="56"/>
      <c r="I18" s="37"/>
      <c r="J18" s="37"/>
    </row>
    <row r="19" spans="1:10" ht="6.75" customHeight="1">
      <c r="A19" s="56"/>
      <c r="B19" s="56"/>
      <c r="C19" s="56"/>
      <c r="D19" s="56"/>
      <c r="E19" s="56"/>
      <c r="F19" s="58"/>
      <c r="G19" s="56"/>
      <c r="I19" s="37"/>
      <c r="J19" s="37"/>
    </row>
    <row r="20" spans="1:10" ht="15">
      <c r="A20" s="56"/>
      <c r="B20" s="39" t="s">
        <v>21</v>
      </c>
      <c r="C20" s="56"/>
      <c r="D20" s="56"/>
      <c r="E20" s="56"/>
      <c r="F20" s="44">
        <v>14</v>
      </c>
      <c r="G20" s="56"/>
      <c r="I20" s="37"/>
      <c r="J20" s="37"/>
    </row>
    <row r="21" spans="1:10" ht="15">
      <c r="A21" s="56"/>
      <c r="B21" s="113" t="s">
        <v>22</v>
      </c>
      <c r="C21" s="114"/>
      <c r="D21" s="114"/>
      <c r="E21" s="114"/>
      <c r="F21" s="58"/>
      <c r="G21" s="56"/>
      <c r="I21" s="37"/>
      <c r="J21" s="37"/>
    </row>
    <row r="22" spans="1:10" ht="15">
      <c r="A22" s="56"/>
      <c r="B22" s="114"/>
      <c r="C22" s="114"/>
      <c r="D22" s="114"/>
      <c r="E22" s="114"/>
      <c r="F22" s="58" t="s">
        <v>25</v>
      </c>
      <c r="G22" s="56"/>
      <c r="I22" s="37"/>
      <c r="J22" s="37"/>
    </row>
    <row r="23" spans="1:18" ht="15">
      <c r="A23" s="56"/>
      <c r="B23" s="56"/>
      <c r="C23" s="56"/>
      <c r="D23" s="56"/>
      <c r="E23" s="56"/>
      <c r="F23" s="58"/>
      <c r="G23" s="56"/>
      <c r="I23" s="37"/>
      <c r="J23" s="37"/>
      <c r="P23" s="45"/>
      <c r="Q23" s="45"/>
      <c r="R23" s="45"/>
    </row>
    <row r="24" spans="1:10" ht="15">
      <c r="A24" s="56"/>
      <c r="B24" s="39" t="s">
        <v>23</v>
      </c>
      <c r="C24" s="56"/>
      <c r="D24" s="56"/>
      <c r="E24" s="56"/>
      <c r="F24" s="46">
        <f>F16*F20</f>
        <v>84000</v>
      </c>
      <c r="G24" s="56"/>
      <c r="I24" s="62" t="s">
        <v>40</v>
      </c>
      <c r="J24" s="62">
        <f>F24/12</f>
        <v>7000</v>
      </c>
    </row>
    <row r="25" spans="1:10" ht="12.75" customHeight="1">
      <c r="A25" s="56"/>
      <c r="B25" s="39"/>
      <c r="C25" s="56"/>
      <c r="D25" s="56"/>
      <c r="E25" s="56"/>
      <c r="F25" s="46"/>
      <c r="G25" s="56"/>
      <c r="I25" s="62"/>
      <c r="J25" s="62"/>
    </row>
    <row r="26" spans="1:10" ht="15">
      <c r="A26" s="56"/>
      <c r="B26" s="56"/>
      <c r="C26" s="56"/>
      <c r="D26" s="56"/>
      <c r="E26" s="56"/>
      <c r="F26" s="56"/>
      <c r="G26" s="56"/>
      <c r="I26" s="60" t="s">
        <v>45</v>
      </c>
      <c r="J26" s="62">
        <f>J24*0.7</f>
        <v>4900</v>
      </c>
    </row>
    <row r="27" spans="1:10" ht="15">
      <c r="A27" s="56"/>
      <c r="B27" s="39" t="s">
        <v>26</v>
      </c>
      <c r="C27" s="56"/>
      <c r="D27" s="56"/>
      <c r="E27" s="56"/>
      <c r="F27" s="56"/>
      <c r="G27" s="56"/>
      <c r="I27" s="37" t="s">
        <v>41</v>
      </c>
      <c r="J27" s="88">
        <f>IF(J26&lt;Steuerung!F2,J26,Steuerung!F2)</f>
        <v>3281.25</v>
      </c>
    </row>
    <row r="28" spans="1:10" ht="15">
      <c r="A28" s="56"/>
      <c r="B28" s="56"/>
      <c r="C28" s="56"/>
      <c r="D28" s="56"/>
      <c r="E28" s="56"/>
      <c r="F28" s="56"/>
      <c r="G28" s="56"/>
      <c r="I28" s="37" t="s">
        <v>42</v>
      </c>
      <c r="J28" s="62">
        <f>J24*0.8</f>
        <v>5600</v>
      </c>
    </row>
    <row r="29" spans="1:11" ht="15">
      <c r="A29" s="56"/>
      <c r="B29" s="109" t="s">
        <v>90</v>
      </c>
      <c r="C29" s="110"/>
      <c r="D29" s="110"/>
      <c r="E29" s="111"/>
      <c r="F29" s="56"/>
      <c r="G29" s="56"/>
      <c r="I29" s="37" t="s">
        <v>44</v>
      </c>
      <c r="J29" s="88">
        <f>J28-(J27-(Steuerung!F6*J27))</f>
        <v>2721.5234375</v>
      </c>
      <c r="K29" s="63"/>
    </row>
    <row r="30" spans="1:10" ht="15">
      <c r="A30" s="56"/>
      <c r="B30" s="56"/>
      <c r="C30" s="56"/>
      <c r="D30" s="56"/>
      <c r="E30" s="56"/>
      <c r="F30" s="56"/>
      <c r="G30" s="56"/>
      <c r="I30" s="37" t="s">
        <v>43</v>
      </c>
      <c r="J30" s="88">
        <f>IF(J37=1,IF(J29/30&gt;30,30,J29/30),J29/30)</f>
        <v>90.71744791666667</v>
      </c>
    </row>
    <row r="31" spans="1:10" ht="15">
      <c r="A31" s="56"/>
      <c r="B31" s="56"/>
      <c r="C31" s="56"/>
      <c r="D31" s="56"/>
      <c r="E31" s="56"/>
      <c r="F31" s="56"/>
      <c r="G31" s="56"/>
      <c r="I31" s="37"/>
      <c r="J31" s="37">
        <f>ROUNDUP((J30)*2,-1)/2</f>
        <v>95</v>
      </c>
    </row>
    <row r="32" spans="1:10" ht="15">
      <c r="A32" s="56"/>
      <c r="B32" s="112" t="s">
        <v>28</v>
      </c>
      <c r="C32" s="105"/>
      <c r="D32" s="105"/>
      <c r="E32" s="47"/>
      <c r="F32" s="56"/>
      <c r="G32" s="56"/>
      <c r="I32" s="37"/>
      <c r="J32" s="37"/>
    </row>
    <row r="33" spans="1:10" ht="15">
      <c r="A33" s="56"/>
      <c r="B33" s="56"/>
      <c r="C33" s="56"/>
      <c r="D33" s="56"/>
      <c r="E33" s="56"/>
      <c r="F33" s="56"/>
      <c r="G33" s="56"/>
      <c r="I33" s="37" t="e">
        <f>VLOOKUP(B35,Steuerung!D27:E32,2,FALSE)</f>
        <v>#N/A</v>
      </c>
      <c r="J33" s="37"/>
    </row>
    <row r="34" spans="1:10" ht="15">
      <c r="A34" s="56"/>
      <c r="B34" s="48" t="s">
        <v>37</v>
      </c>
      <c r="C34" s="48"/>
      <c r="D34" s="48" t="s">
        <v>39</v>
      </c>
      <c r="E34" s="48"/>
      <c r="F34" s="66" t="s">
        <v>38</v>
      </c>
      <c r="G34" s="56"/>
      <c r="I34" s="37"/>
      <c r="J34" s="37"/>
    </row>
    <row r="35" spans="1:10" ht="15">
      <c r="A35" s="56"/>
      <c r="B35" s="48" t="e">
        <f>VLOOKUP(B29,Steuerung!A27:D32,4,FALSE)</f>
        <v>#N/A</v>
      </c>
      <c r="C35" s="50"/>
      <c r="D35" s="50">
        <f>IF((ROUNDUP((J30)*2,-1)/2)&gt;500,500,(ROUNDUP((J30)*2,-1)/2))</f>
        <v>95</v>
      </c>
      <c r="E35" s="51"/>
      <c r="F35" s="71" t="e">
        <f>I35*J35</f>
        <v>#REF!</v>
      </c>
      <c r="G35" s="56"/>
      <c r="I35" s="52">
        <f>D35/5</f>
        <v>19</v>
      </c>
      <c r="J35" s="37" t="e">
        <f>VLOOKUP(I11,'KT-Beiträge M'!A:J,'aA GKV'!I33,FALSE)</f>
        <v>#REF!</v>
      </c>
    </row>
    <row r="36" spans="1:10" ht="15">
      <c r="A36" s="56"/>
      <c r="B36" s="56"/>
      <c r="C36" s="56"/>
      <c r="D36" s="56"/>
      <c r="E36" s="56"/>
      <c r="F36" s="56"/>
      <c r="G36" s="56"/>
      <c r="I36" s="37"/>
      <c r="J36" s="37"/>
    </row>
    <row r="37" spans="1:10" ht="15" customHeight="1">
      <c r="A37" s="56"/>
      <c r="B37" s="115" t="str">
        <f>IF(J31&gt;500,(CONCATENATE("Der ermittelte Bedarf liegt mit ",J31," € ","über dem versicherbaren Höchsttagegeld. Die KT-Höhe wurde entsprechend begrenzt.")),"")</f>
        <v/>
      </c>
      <c r="C37" s="116"/>
      <c r="D37" s="116"/>
      <c r="E37" s="116"/>
      <c r="F37" s="116"/>
      <c r="G37" s="56"/>
      <c r="I37" s="37" t="s">
        <v>107</v>
      </c>
      <c r="J37" s="37">
        <f>IF(J24*12&gt;Steuerung!F1,2,1)</f>
        <v>2</v>
      </c>
    </row>
    <row r="38" spans="1:10" ht="15" customHeight="1">
      <c r="A38" s="56"/>
      <c r="B38" s="116"/>
      <c r="C38" s="116"/>
      <c r="D38" s="116"/>
      <c r="E38" s="116"/>
      <c r="F38" s="116"/>
      <c r="G38" s="56"/>
      <c r="I38" s="37"/>
      <c r="J38" s="37"/>
    </row>
    <row r="39" spans="1:10" ht="15" customHeight="1">
      <c r="A39" s="56"/>
      <c r="B39" s="117"/>
      <c r="C39" s="117"/>
      <c r="D39" s="117"/>
      <c r="E39" s="117"/>
      <c r="F39" s="117"/>
      <c r="G39" s="56"/>
      <c r="I39" s="37"/>
      <c r="J39" s="37"/>
    </row>
    <row r="40" spans="1:10" ht="15" customHeight="1">
      <c r="A40" s="56"/>
      <c r="B40" s="56"/>
      <c r="C40" s="56"/>
      <c r="D40" s="56"/>
      <c r="E40" s="56"/>
      <c r="F40" s="56"/>
      <c r="G40" s="56"/>
      <c r="I40" s="37"/>
      <c r="J40" s="37"/>
    </row>
    <row r="41" spans="1:10" ht="15" customHeight="1">
      <c r="A41" s="56"/>
      <c r="B41" s="56"/>
      <c r="C41" s="56"/>
      <c r="D41" s="56"/>
      <c r="E41" s="56"/>
      <c r="F41" s="56"/>
      <c r="G41" s="56"/>
      <c r="I41" s="37"/>
      <c r="J41" s="37"/>
    </row>
    <row r="42" spans="1:10" ht="15" customHeight="1">
      <c r="A42" s="56"/>
      <c r="B42" s="56"/>
      <c r="C42" s="56"/>
      <c r="D42" s="56"/>
      <c r="E42" s="56"/>
      <c r="F42" s="56"/>
      <c r="G42" s="56"/>
      <c r="I42" s="37"/>
      <c r="J42" s="37"/>
    </row>
    <row r="43" spans="1:10" ht="15" customHeight="1">
      <c r="A43" s="38"/>
      <c r="B43" s="38" t="s">
        <v>101</v>
      </c>
      <c r="C43" s="38"/>
      <c r="D43" s="38"/>
      <c r="E43" s="38"/>
      <c r="F43" s="38"/>
      <c r="G43" s="38"/>
      <c r="I43" s="37"/>
      <c r="J43" s="37"/>
    </row>
    <row r="44" spans="1:10" ht="12.75">
      <c r="A44" s="38"/>
      <c r="B44" s="38"/>
      <c r="C44" s="38"/>
      <c r="D44" s="38"/>
      <c r="E44" s="38"/>
      <c r="F44" s="38"/>
      <c r="G44" s="38"/>
      <c r="I44" s="37"/>
      <c r="J44" s="37"/>
    </row>
    <row r="45" ht="12.75" hidden="1"/>
    <row r="46" ht="12.75" hidden="1"/>
    <row r="47" ht="12.75" hidden="1"/>
  </sheetData>
  <mergeCells count="4">
    <mergeCell ref="B21:E22"/>
    <mergeCell ref="B29:E29"/>
    <mergeCell ref="B32:D32"/>
    <mergeCell ref="B37:F39"/>
  </mergeCells>
  <dataValidations count="3">
    <dataValidation type="list" allowBlank="1" showInputMessage="1" showErrorMessage="1" sqref="F11">
      <formula1>Steuerung!$J$3:$J$52</formula1>
    </dataValidation>
    <dataValidation type="list" allowBlank="1" showInputMessage="1" showErrorMessage="1" sqref="F13">
      <formula1>Steuerung!$A$35:$A$46</formula1>
    </dataValidation>
    <dataValidation type="list" allowBlank="1" showInputMessage="1" showErrorMessage="1" sqref="B29">
      <formula1>Steuerung!$A$27:$A$32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7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tabColor theme="0" tint="-0.1499900072813034"/>
    <pageSetUpPr fitToPage="1"/>
  </sheetPr>
  <dimension ref="A1:S33"/>
  <sheetViews>
    <sheetView workbookViewId="0" topLeftCell="A1">
      <selection activeCell="G13" sqref="G13"/>
    </sheetView>
  </sheetViews>
  <sheetFormatPr defaultColWidth="0" defaultRowHeight="12.75" zeroHeight="1"/>
  <cols>
    <col min="1" max="1" width="14.28125" style="36" customWidth="1"/>
    <col min="2" max="2" width="9.140625" style="36" customWidth="1"/>
    <col min="3" max="3" width="6.00390625" style="36" customWidth="1"/>
    <col min="4" max="4" width="12.140625" style="36" customWidth="1"/>
    <col min="5" max="5" width="7.7109375" style="36" customWidth="1"/>
    <col min="6" max="6" width="14.421875" style="36" customWidth="1"/>
    <col min="7" max="7" width="12.00390625" style="36" customWidth="1"/>
    <col min="8" max="8" width="12.7109375" style="36" customWidth="1"/>
    <col min="9" max="11" width="11.421875" style="36" hidden="1" customWidth="1"/>
    <col min="12" max="12" width="19.7109375" style="36" hidden="1" customWidth="1"/>
    <col min="13" max="14" width="0" style="36" hidden="1" customWidth="1"/>
    <col min="15" max="15" width="0" style="72" hidden="1" customWidth="1"/>
    <col min="16" max="19" width="0" style="36" hidden="1" customWidth="1"/>
    <col min="20" max="16384" width="11.421875" style="36" hidden="1" customWidth="1"/>
  </cols>
  <sheetData>
    <row r="1" spans="1:11" s="36" customFormat="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s="36" customFormat="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s="36" customFormat="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s="36" customFormat="1" ht="15.75">
      <c r="A4" s="35"/>
      <c r="B4" s="91" t="s">
        <v>82</v>
      </c>
      <c r="C4" s="35"/>
      <c r="D4" s="35"/>
      <c r="E4" s="35"/>
      <c r="F4" s="35"/>
      <c r="G4" s="35"/>
      <c r="H4" s="35"/>
      <c r="J4" s="37"/>
      <c r="K4" s="37"/>
    </row>
    <row r="5" spans="1:11" s="36" customFormat="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s="36" customFormat="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s="36" customFormat="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s="36" customFormat="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s="36" customFormat="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s="36" customFormat="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s="36" customFormat="1" ht="15" customHeight="1">
      <c r="A11" s="56"/>
      <c r="B11" s="39" t="s">
        <v>35</v>
      </c>
      <c r="C11" s="56"/>
      <c r="D11" s="56"/>
      <c r="E11" s="56"/>
      <c r="F11" s="56"/>
      <c r="G11" s="40">
        <v>1984</v>
      </c>
      <c r="H11" s="56"/>
      <c r="J11" s="41">
        <f>YEAR(G13)-G11</f>
        <v>33</v>
      </c>
      <c r="K11" s="37"/>
    </row>
    <row r="12" spans="1:11" s="36" customFormat="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s="36" customFormat="1" ht="15" customHeight="1">
      <c r="A13" s="56"/>
      <c r="B13" s="39" t="s">
        <v>36</v>
      </c>
      <c r="C13" s="56"/>
      <c r="D13" s="56"/>
      <c r="E13" s="56"/>
      <c r="F13" s="56"/>
      <c r="G13" s="42">
        <v>42736</v>
      </c>
      <c r="H13" s="56"/>
      <c r="J13" s="37"/>
      <c r="K13" s="37"/>
    </row>
    <row r="14" spans="1:13" s="36" customFormat="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  <c r="M14" s="63"/>
    </row>
    <row r="15" spans="1:11" s="36" customFormat="1" ht="15" customHeight="1">
      <c r="A15" s="56"/>
      <c r="B15" s="112" t="s">
        <v>51</v>
      </c>
      <c r="C15" s="105"/>
      <c r="D15" s="105"/>
      <c r="E15" s="105"/>
      <c r="F15" s="56"/>
      <c r="G15" s="43">
        <v>5000</v>
      </c>
      <c r="H15" s="56"/>
      <c r="J15" s="37"/>
      <c r="K15" s="37"/>
    </row>
    <row r="16" spans="1:11" s="36" customFormat="1" ht="15" customHeight="1">
      <c r="A16" s="56"/>
      <c r="B16" s="64"/>
      <c r="C16" s="50"/>
      <c r="D16" s="50"/>
      <c r="E16" s="50"/>
      <c r="F16" s="50"/>
      <c r="G16" s="50"/>
      <c r="H16" s="56"/>
      <c r="J16" s="37"/>
      <c r="K16" s="37"/>
    </row>
    <row r="17" spans="1:19" ht="15" customHeight="1">
      <c r="A17" s="56"/>
      <c r="B17" s="112" t="s">
        <v>60</v>
      </c>
      <c r="C17" s="105"/>
      <c r="D17" s="46">
        <f>(ROUNDUP((G15/30)*2,-1)/2)</f>
        <v>170</v>
      </c>
      <c r="E17" s="124" t="str">
        <f>IF(D17&gt;500,"ACHTUNG: versicherbar
sind nur 500 €!","")</f>
        <v/>
      </c>
      <c r="F17" s="125"/>
      <c r="G17" s="125"/>
      <c r="H17" s="105"/>
      <c r="J17" s="37"/>
      <c r="K17" s="37"/>
      <c r="N17" s="65"/>
      <c r="O17" s="65"/>
      <c r="P17" s="65"/>
      <c r="Q17" s="65"/>
      <c r="R17" s="65"/>
      <c r="S17" s="65"/>
    </row>
    <row r="18" spans="1:19" ht="15" customHeight="1">
      <c r="A18" s="56"/>
      <c r="B18" s="56"/>
      <c r="C18" s="56"/>
      <c r="D18" s="56"/>
      <c r="E18" s="105"/>
      <c r="F18" s="105"/>
      <c r="G18" s="105"/>
      <c r="H18" s="105"/>
      <c r="J18" s="37"/>
      <c r="K18" s="37"/>
      <c r="N18" s="65"/>
      <c r="O18" s="65"/>
      <c r="P18" s="65"/>
      <c r="Q18" s="65"/>
      <c r="R18" s="65"/>
      <c r="S18" s="65"/>
    </row>
    <row r="19" spans="1:19" ht="15" customHeight="1">
      <c r="A19" s="56"/>
      <c r="B19" s="112" t="s">
        <v>37</v>
      </c>
      <c r="C19" s="105"/>
      <c r="D19" s="49" t="s">
        <v>39</v>
      </c>
      <c r="E19" s="56"/>
      <c r="F19" s="66" t="s">
        <v>38</v>
      </c>
      <c r="G19" s="56"/>
      <c r="H19" s="56"/>
      <c r="J19" s="41">
        <f>VLOOKUP(B23,Steuerung!D26:E32,2,FALSE)</f>
        <v>6</v>
      </c>
      <c r="K19" s="37"/>
      <c r="N19" s="65"/>
      <c r="O19" s="65"/>
      <c r="P19" s="65"/>
      <c r="Q19" s="65"/>
      <c r="R19" s="65"/>
      <c r="S19" s="65"/>
    </row>
    <row r="20" spans="1:19" ht="15" customHeight="1">
      <c r="A20" s="56"/>
      <c r="B20" s="64"/>
      <c r="C20" s="50"/>
      <c r="D20" s="67" t="s">
        <v>62</v>
      </c>
      <c r="E20" s="56"/>
      <c r="F20" s="58"/>
      <c r="G20" s="56"/>
      <c r="H20" s="56"/>
      <c r="J20" s="37"/>
      <c r="K20" s="37"/>
      <c r="N20" s="65"/>
      <c r="O20" s="65"/>
      <c r="P20" s="65"/>
      <c r="Q20" s="65"/>
      <c r="R20" s="65"/>
      <c r="S20" s="65"/>
    </row>
    <row r="21" spans="1:19" ht="15" customHeight="1">
      <c r="A21" s="56"/>
      <c r="B21" s="39" t="s">
        <v>78</v>
      </c>
      <c r="C21" s="56"/>
      <c r="D21" s="43">
        <v>100</v>
      </c>
      <c r="E21" s="56"/>
      <c r="F21" s="68">
        <f>J21*K21</f>
        <v>38.199999999999996</v>
      </c>
      <c r="G21" s="56"/>
      <c r="H21" s="56"/>
      <c r="J21" s="41">
        <f>D21/5</f>
        <v>20</v>
      </c>
      <c r="K21" s="59">
        <f>VLOOKUP(J11,'KT-Beiträge M'!A:B,2,FALSE)</f>
        <v>1.91</v>
      </c>
      <c r="L21" s="37">
        <f>IF(INT(J21)=J21,0,1)</f>
        <v>0</v>
      </c>
      <c r="N21" s="65"/>
      <c r="O21" s="65"/>
      <c r="P21" s="65"/>
      <c r="Q21" s="65"/>
      <c r="R21" s="65"/>
      <c r="S21" s="65"/>
    </row>
    <row r="22" spans="1:19" ht="15" customHeight="1">
      <c r="A22" s="56"/>
      <c r="B22" s="39" t="s">
        <v>79</v>
      </c>
      <c r="C22" s="56"/>
      <c r="D22" s="43">
        <v>50</v>
      </c>
      <c r="E22" s="56"/>
      <c r="F22" s="68">
        <f>J22*K22</f>
        <v>14.6</v>
      </c>
      <c r="G22" s="56"/>
      <c r="H22" s="56"/>
      <c r="J22" s="41">
        <f>D22/5</f>
        <v>10</v>
      </c>
      <c r="K22" s="59">
        <f>VLOOKUP(J11,'KT-Beiträge M'!A:C,3,FALSE)</f>
        <v>1.46</v>
      </c>
      <c r="L22" s="37">
        <f>IF(INT(J22)=J22,0,1)</f>
        <v>0</v>
      </c>
      <c r="N22" s="65"/>
      <c r="O22" s="65"/>
      <c r="P22" s="65"/>
      <c r="Q22" s="65"/>
      <c r="R22" s="65"/>
      <c r="S22" s="65"/>
    </row>
    <row r="23" spans="1:19" ht="15" customHeight="1">
      <c r="A23" s="56"/>
      <c r="B23" s="69" t="s">
        <v>30</v>
      </c>
      <c r="C23" s="56"/>
      <c r="D23" s="43">
        <v>20</v>
      </c>
      <c r="E23" s="56"/>
      <c r="F23" s="68">
        <f>J23*K23</f>
        <v>5.32</v>
      </c>
      <c r="G23" s="56"/>
      <c r="H23" s="56"/>
      <c r="J23" s="41">
        <f>D23/5</f>
        <v>4</v>
      </c>
      <c r="K23" s="59">
        <f>VLOOKUP(J11,'KT-Beiträge M'!A:J,'P HAL'!J19,FALSE)</f>
        <v>1.33</v>
      </c>
      <c r="L23" s="37">
        <f>IF(INT(J23)=J23,0,1)</f>
        <v>0</v>
      </c>
      <c r="N23" s="65"/>
      <c r="O23" s="65"/>
      <c r="P23" s="65"/>
      <c r="Q23" s="70"/>
      <c r="R23" s="65"/>
      <c r="S23" s="70"/>
    </row>
    <row r="24" spans="1:19" ht="15" customHeight="1">
      <c r="A24" s="56"/>
      <c r="B24" s="122" t="str">
        <f>IF(L24&gt;0,"KT-Höhe bitte in 5 €-Schritten wählen!","")</f>
        <v/>
      </c>
      <c r="C24" s="123"/>
      <c r="D24" s="123"/>
      <c r="E24" s="123"/>
      <c r="F24" s="123"/>
      <c r="G24" s="56"/>
      <c r="H24" s="56"/>
      <c r="J24" s="37"/>
      <c r="K24" s="37"/>
      <c r="L24" s="37">
        <f>L21+L22+L23</f>
        <v>0</v>
      </c>
      <c r="N24" s="65"/>
      <c r="O24" s="65"/>
      <c r="P24" s="65"/>
      <c r="Q24" s="65"/>
      <c r="R24" s="65"/>
      <c r="S24" s="65"/>
    </row>
    <row r="25" spans="1:19" ht="15" customHeight="1">
      <c r="A25" s="56"/>
      <c r="B25" s="39" t="s">
        <v>61</v>
      </c>
      <c r="C25" s="56"/>
      <c r="D25" s="46">
        <f>D21+D22+D23</f>
        <v>170</v>
      </c>
      <c r="E25" s="56"/>
      <c r="F25" s="71">
        <f>F21+F22+F23</f>
        <v>58.12</v>
      </c>
      <c r="G25" s="56"/>
      <c r="H25" s="56"/>
      <c r="J25" s="37"/>
      <c r="K25" s="37"/>
      <c r="N25" s="65"/>
      <c r="O25" s="65"/>
      <c r="P25" s="65"/>
      <c r="Q25" s="65"/>
      <c r="R25" s="65"/>
      <c r="S25" s="65"/>
    </row>
    <row r="26" spans="1:19" ht="15" customHeight="1">
      <c r="A26" s="56"/>
      <c r="B26" s="56"/>
      <c r="C26" s="56"/>
      <c r="D26" s="56"/>
      <c r="E26" s="56"/>
      <c r="F26" s="56"/>
      <c r="G26" s="56"/>
      <c r="H26" s="56"/>
      <c r="J26" s="37"/>
      <c r="K26" s="37"/>
      <c r="N26" s="65"/>
      <c r="O26" s="65"/>
      <c r="P26" s="65"/>
      <c r="Q26" s="65"/>
      <c r="R26" s="65"/>
      <c r="S26" s="65"/>
    </row>
    <row r="27" spans="1:19" ht="15" customHeight="1">
      <c r="A27" s="56"/>
      <c r="B27" s="120" t="str">
        <f>IF(D25&gt;500,"Versicherbares Höchsttagegeld überschritten, bitte auf insgesamt 500 € reduzieren.",IF(D25&gt;D17,(CONCATENATE("Versicherbares Tagegeld (Nettoeinkommen) überschritten, bitte auf insgesamt ",D17," € reduzieren.")),IF(D17&gt;D25,(CONCATENATE("ACHTUNG Absicherungslücke in Höhe von ",D17-D25," €!")),"")))</f>
        <v/>
      </c>
      <c r="C27" s="134"/>
      <c r="D27" s="134"/>
      <c r="E27" s="134"/>
      <c r="F27" s="134"/>
      <c r="G27" s="134"/>
      <c r="H27" s="56"/>
      <c r="J27" s="37"/>
      <c r="K27" s="37"/>
      <c r="N27" s="65"/>
      <c r="O27" s="65"/>
      <c r="P27" s="65"/>
      <c r="Q27" s="65"/>
      <c r="R27" s="65"/>
      <c r="S27" s="65"/>
    </row>
    <row r="28" spans="1:11" ht="15" customHeight="1">
      <c r="A28" s="56"/>
      <c r="B28" s="134"/>
      <c r="C28" s="134"/>
      <c r="D28" s="134"/>
      <c r="E28" s="134"/>
      <c r="F28" s="134"/>
      <c r="G28" s="134"/>
      <c r="H28" s="56"/>
      <c r="J28" s="37"/>
      <c r="K28" s="37"/>
    </row>
    <row r="29" spans="1:11" ht="15" customHeight="1">
      <c r="A29" s="56"/>
      <c r="B29" s="50"/>
      <c r="C29" s="50"/>
      <c r="D29" s="50"/>
      <c r="E29" s="50"/>
      <c r="F29" s="50"/>
      <c r="G29" s="50"/>
      <c r="H29" s="56"/>
      <c r="J29" s="37"/>
      <c r="K29" s="37"/>
    </row>
    <row r="30" spans="1:11" ht="15" customHeight="1">
      <c r="A30" s="56"/>
      <c r="B30" s="50"/>
      <c r="C30" s="50"/>
      <c r="D30" s="50"/>
      <c r="E30" s="50"/>
      <c r="F30" s="50"/>
      <c r="G30" s="50"/>
      <c r="H30" s="56"/>
      <c r="J30" s="37"/>
      <c r="K30" s="37"/>
    </row>
    <row r="31" spans="1:11" ht="15" customHeight="1">
      <c r="A31" s="56"/>
      <c r="B31" s="50"/>
      <c r="C31" s="50"/>
      <c r="D31" s="50"/>
      <c r="E31" s="50"/>
      <c r="F31" s="50"/>
      <c r="G31" s="50"/>
      <c r="H31" s="56"/>
      <c r="J31" s="37"/>
      <c r="K31" s="37"/>
    </row>
    <row r="32" spans="1:11" ht="15" customHeight="1">
      <c r="A32" s="38"/>
      <c r="B32" s="38" t="s">
        <v>101</v>
      </c>
      <c r="C32" s="50"/>
      <c r="D32" s="50"/>
      <c r="E32" s="50"/>
      <c r="F32" s="50"/>
      <c r="G32" s="50"/>
      <c r="H32" s="38"/>
      <c r="J32" s="37"/>
      <c r="K32" s="37"/>
    </row>
    <row r="33" spans="1:11" ht="15" customHeight="1">
      <c r="A33" s="38"/>
      <c r="B33" s="50"/>
      <c r="C33" s="50"/>
      <c r="D33" s="50"/>
      <c r="E33" s="50"/>
      <c r="F33" s="50"/>
      <c r="G33" s="50"/>
      <c r="H33" s="38"/>
      <c r="J33" s="37"/>
      <c r="K33" s="37"/>
    </row>
  </sheetData>
  <mergeCells count="6">
    <mergeCell ref="B27:G28"/>
    <mergeCell ref="B15:E15"/>
    <mergeCell ref="B17:C17"/>
    <mergeCell ref="B19:C19"/>
    <mergeCell ref="B24:F24"/>
    <mergeCell ref="E17:H18"/>
  </mergeCells>
  <dataValidations count="4">
    <dataValidation type="whole" allowBlank="1" showInputMessage="1" showErrorMessage="1" sqref="D21:D23">
      <formula1>0</formula1>
      <formula2>500</formula2>
    </dataValidation>
    <dataValidation type="list" allowBlank="1" showInputMessage="1" showErrorMessage="1" sqref="G11">
      <formula1>Steuerung!$J$3:$J$52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B23">
      <formula1>Steuerung!$D$26:$D$32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9">
    <tabColor theme="0" tint="-0.1499900072813034"/>
    <pageSetUpPr fitToPage="1"/>
  </sheetPr>
  <dimension ref="A1:S40"/>
  <sheetViews>
    <sheetView workbookViewId="0" topLeftCell="A1">
      <selection activeCell="H20" sqref="H20"/>
    </sheetView>
  </sheetViews>
  <sheetFormatPr defaultColWidth="0" defaultRowHeight="12.75" zeroHeight="1"/>
  <cols>
    <col min="1" max="1" width="14.7109375" style="36" customWidth="1"/>
    <col min="2" max="2" width="9.140625" style="36" customWidth="1"/>
    <col min="3" max="3" width="11.8515625" style="36" customWidth="1"/>
    <col min="4" max="4" width="9.7109375" style="36" customWidth="1"/>
    <col min="5" max="5" width="9.00390625" style="36" customWidth="1"/>
    <col min="6" max="6" width="13.7109375" style="36" customWidth="1"/>
    <col min="7" max="7" width="11.57421875" style="36" customWidth="1"/>
    <col min="8" max="8" width="15.140625" style="36" customWidth="1"/>
    <col min="9" max="9" width="11.421875" style="36" hidden="1" customWidth="1"/>
    <col min="10" max="10" width="14.8515625" style="36" hidden="1" customWidth="1"/>
    <col min="11" max="11" width="11.421875" style="36" hidden="1" customWidth="1"/>
    <col min="12" max="12" width="19.7109375" style="36" hidden="1" customWidth="1"/>
    <col min="13" max="19" width="0" style="36" hidden="1" customWidth="1"/>
    <col min="20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ht="15.75">
      <c r="A4" s="35"/>
      <c r="B4" s="91" t="s">
        <v>85</v>
      </c>
      <c r="C4" s="35"/>
      <c r="D4" s="35"/>
      <c r="E4" s="35"/>
      <c r="F4" s="35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ht="15" customHeight="1">
      <c r="A11" s="56"/>
      <c r="B11" s="39" t="s">
        <v>35</v>
      </c>
      <c r="C11" s="56"/>
      <c r="D11" s="56"/>
      <c r="E11" s="56"/>
      <c r="F11" s="56"/>
      <c r="G11" s="40">
        <v>1967</v>
      </c>
      <c r="H11" s="56"/>
      <c r="J11" s="41">
        <f>YEAR(G13)-G11</f>
        <v>50</v>
      </c>
      <c r="K11" s="37"/>
    </row>
    <row r="12" spans="1:1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ht="15" customHeight="1">
      <c r="A13" s="56"/>
      <c r="B13" s="39" t="s">
        <v>36</v>
      </c>
      <c r="C13" s="56"/>
      <c r="D13" s="56"/>
      <c r="E13" s="56"/>
      <c r="F13" s="56"/>
      <c r="G13" s="42">
        <v>42736</v>
      </c>
      <c r="H13" s="56"/>
      <c r="J13" s="37"/>
      <c r="K13" s="37"/>
    </row>
    <row r="14" spans="1:1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</row>
    <row r="15" spans="1:11" ht="15" customHeight="1">
      <c r="A15" s="56"/>
      <c r="B15" s="112" t="s">
        <v>75</v>
      </c>
      <c r="C15" s="105"/>
      <c r="D15" s="105"/>
      <c r="E15" s="105"/>
      <c r="F15" s="126"/>
      <c r="G15" s="43">
        <v>125000</v>
      </c>
      <c r="H15" s="56"/>
      <c r="J15" s="62" t="s">
        <v>40</v>
      </c>
      <c r="K15" s="62">
        <f>G15/12</f>
        <v>10416.666666666666</v>
      </c>
    </row>
    <row r="16" spans="1:11" ht="15" customHeight="1">
      <c r="A16" s="56"/>
      <c r="B16" s="56"/>
      <c r="C16" s="56"/>
      <c r="D16" s="56"/>
      <c r="E16" s="56"/>
      <c r="F16" s="56"/>
      <c r="G16" s="56"/>
      <c r="H16" s="56"/>
      <c r="J16" s="60" t="s">
        <v>45</v>
      </c>
      <c r="K16" s="62">
        <f>K15*0.7</f>
        <v>7291.666666666666</v>
      </c>
    </row>
    <row r="17" spans="1:11" ht="15" customHeight="1">
      <c r="A17" s="56"/>
      <c r="B17" s="112" t="s">
        <v>76</v>
      </c>
      <c r="C17" s="105"/>
      <c r="D17" s="105"/>
      <c r="E17" s="105"/>
      <c r="F17" s="126"/>
      <c r="G17" s="43">
        <v>80000</v>
      </c>
      <c r="H17" s="56"/>
      <c r="J17" s="37" t="s">
        <v>41</v>
      </c>
      <c r="K17" s="37">
        <f>IF(K16&lt;Steuerung!F2,K16,Steuerung!F2)</f>
        <v>3281.25</v>
      </c>
    </row>
    <row r="18" spans="1:11" ht="15" customHeight="1">
      <c r="A18" s="56"/>
      <c r="B18" s="56"/>
      <c r="C18" s="56"/>
      <c r="D18" s="56"/>
      <c r="E18" s="56"/>
      <c r="F18" s="56"/>
      <c r="G18" s="56"/>
      <c r="H18" s="56"/>
      <c r="J18" s="37" t="s">
        <v>69</v>
      </c>
      <c r="K18" s="62">
        <f>K17*Steuerung!F5*2</f>
        <v>116.48437499999999</v>
      </c>
    </row>
    <row r="19" spans="1:11" ht="15" customHeight="1">
      <c r="A19" s="56"/>
      <c r="B19" s="103" t="s">
        <v>66</v>
      </c>
      <c r="C19" s="104"/>
      <c r="D19" s="104"/>
      <c r="E19" s="104"/>
      <c r="F19" s="104"/>
      <c r="G19" s="104"/>
      <c r="H19" s="56"/>
      <c r="J19" s="37" t="s">
        <v>65</v>
      </c>
      <c r="K19" s="62">
        <f>G17/12</f>
        <v>6666.666666666667</v>
      </c>
    </row>
    <row r="20" spans="1:11" ht="15" customHeight="1">
      <c r="A20" s="56"/>
      <c r="B20" s="114"/>
      <c r="C20" s="114"/>
      <c r="D20" s="114"/>
      <c r="E20" s="114"/>
      <c r="F20" s="114"/>
      <c r="G20" s="114"/>
      <c r="H20" s="56"/>
      <c r="J20" s="37" t="s">
        <v>44</v>
      </c>
      <c r="K20" s="62">
        <f>K19-K17+K18</f>
        <v>3501.901041666667</v>
      </c>
    </row>
    <row r="21" spans="1:11" ht="15" customHeight="1">
      <c r="A21" s="56"/>
      <c r="B21" s="56"/>
      <c r="C21" s="135" t="s">
        <v>67</v>
      </c>
      <c r="D21" s="56"/>
      <c r="E21" s="137" t="s">
        <v>68</v>
      </c>
      <c r="F21" s="105"/>
      <c r="G21" s="105"/>
      <c r="H21" s="56"/>
      <c r="J21" s="37" t="s">
        <v>43</v>
      </c>
      <c r="K21" s="62">
        <f>K20/30</f>
        <v>116.73003472222223</v>
      </c>
    </row>
    <row r="22" spans="1:11" ht="15" customHeight="1">
      <c r="A22" s="56"/>
      <c r="B22" s="56"/>
      <c r="C22" s="136"/>
      <c r="D22" s="56"/>
      <c r="E22" s="138"/>
      <c r="F22" s="105"/>
      <c r="G22" s="105"/>
      <c r="H22" s="56"/>
      <c r="J22" s="37"/>
      <c r="K22" s="37">
        <f>ROUNDUP((K21)*2,-1)/2</f>
        <v>120</v>
      </c>
    </row>
    <row r="23" spans="1:19" ht="15" customHeight="1">
      <c r="A23" s="56"/>
      <c r="B23" s="56"/>
      <c r="C23" s="56"/>
      <c r="D23" s="56"/>
      <c r="E23" s="56"/>
      <c r="F23" s="56"/>
      <c r="G23" s="56"/>
      <c r="H23" s="56"/>
      <c r="J23" s="37"/>
      <c r="K23" s="37"/>
      <c r="Q23" s="45"/>
      <c r="R23" s="45"/>
      <c r="S23" s="45"/>
    </row>
    <row r="24" spans="1:11" ht="15" customHeight="1">
      <c r="A24" s="56"/>
      <c r="B24" s="112" t="s">
        <v>60</v>
      </c>
      <c r="C24" s="112"/>
      <c r="D24" s="46">
        <f>IF(K24=1,K26,K27)</f>
        <v>225</v>
      </c>
      <c r="E24" s="120" t="str">
        <f>IF(D24&gt;500,"ACHTUNG: versicherbar sind nur 500 €!","")</f>
        <v/>
      </c>
      <c r="F24" s="120"/>
      <c r="G24" s="120"/>
      <c r="H24" s="105"/>
      <c r="J24" s="62"/>
      <c r="K24" s="79">
        <v>2</v>
      </c>
    </row>
    <row r="25" spans="1:11" ht="15" customHeight="1">
      <c r="A25" s="56"/>
      <c r="B25" s="56"/>
      <c r="C25" s="56"/>
      <c r="D25" s="56"/>
      <c r="E25" s="120"/>
      <c r="F25" s="120"/>
      <c r="G25" s="120"/>
      <c r="H25" s="105"/>
      <c r="J25" s="62"/>
      <c r="K25" s="62"/>
    </row>
    <row r="26" spans="1:11" ht="15" customHeight="1">
      <c r="A26" s="56"/>
      <c r="B26" s="112" t="s">
        <v>37</v>
      </c>
      <c r="C26" s="105"/>
      <c r="D26" s="49" t="s">
        <v>39</v>
      </c>
      <c r="E26" s="56"/>
      <c r="F26" s="66" t="s">
        <v>38</v>
      </c>
      <c r="G26" s="56"/>
      <c r="H26" s="56"/>
      <c r="J26" s="60" t="s">
        <v>70</v>
      </c>
      <c r="K26" s="62">
        <f>K22</f>
        <v>120</v>
      </c>
    </row>
    <row r="27" spans="1:11" ht="15" customHeight="1">
      <c r="A27" s="56"/>
      <c r="B27" s="64"/>
      <c r="C27" s="50"/>
      <c r="D27" s="67" t="s">
        <v>62</v>
      </c>
      <c r="E27" s="56"/>
      <c r="F27" s="58"/>
      <c r="G27" s="56"/>
      <c r="H27" s="56"/>
      <c r="J27" s="37" t="s">
        <v>71</v>
      </c>
      <c r="K27" s="62">
        <f>ROUNDUP((K19/30)*2,-1)/2</f>
        <v>225</v>
      </c>
    </row>
    <row r="28" spans="1:11" ht="15" customHeight="1">
      <c r="A28" s="56"/>
      <c r="B28" s="39" t="s">
        <v>78</v>
      </c>
      <c r="C28" s="56"/>
      <c r="D28" s="43">
        <v>125</v>
      </c>
      <c r="E28" s="56"/>
      <c r="F28" s="68">
        <f>J33*K33</f>
        <v>64.5</v>
      </c>
      <c r="G28" s="56"/>
      <c r="H28" s="56"/>
      <c r="J28" s="37"/>
      <c r="K28" s="62"/>
    </row>
    <row r="29" spans="1:11" ht="15" customHeight="1">
      <c r="A29" s="56"/>
      <c r="B29" s="39" t="s">
        <v>79</v>
      </c>
      <c r="C29" s="56"/>
      <c r="D29" s="43">
        <v>50</v>
      </c>
      <c r="E29" s="56"/>
      <c r="F29" s="68">
        <f>J34*K34</f>
        <v>21.099999999999998</v>
      </c>
      <c r="G29" s="56"/>
      <c r="H29" s="56"/>
      <c r="J29" s="37" t="s">
        <v>72</v>
      </c>
      <c r="K29" s="62" t="str">
        <f>E24</f>
        <v/>
      </c>
    </row>
    <row r="30" spans="1:11" ht="15" customHeight="1">
      <c r="A30" s="56"/>
      <c r="B30" s="69" t="s">
        <v>30</v>
      </c>
      <c r="C30" s="56"/>
      <c r="D30" s="43">
        <v>50</v>
      </c>
      <c r="E30" s="56"/>
      <c r="F30" s="68">
        <f>J35*K35</f>
        <v>24</v>
      </c>
      <c r="G30" s="56"/>
      <c r="H30" s="56"/>
      <c r="J30" s="37"/>
      <c r="K30" s="88"/>
    </row>
    <row r="31" spans="1:11" ht="15" customHeight="1">
      <c r="A31" s="56"/>
      <c r="B31" s="122" t="str">
        <f>IF(L31&gt;0,"KT-Höhe bitte in 5 €-Schritten wählen!","")</f>
        <v/>
      </c>
      <c r="C31" s="123"/>
      <c r="D31" s="123"/>
      <c r="E31" s="123"/>
      <c r="F31" s="123"/>
      <c r="G31" s="56"/>
      <c r="H31" s="56"/>
      <c r="J31" s="41">
        <f>VLOOKUP(B30,Steuerung!D26:E32,2,FALSE)</f>
        <v>6</v>
      </c>
      <c r="K31" s="37"/>
    </row>
    <row r="32" spans="1:11" ht="15" customHeight="1">
      <c r="A32" s="56"/>
      <c r="B32" s="39" t="s">
        <v>61</v>
      </c>
      <c r="C32" s="56"/>
      <c r="D32" s="46">
        <f>D28+D29+D30</f>
        <v>225</v>
      </c>
      <c r="E32" s="56"/>
      <c r="F32" s="71">
        <f>F28+F29+F30</f>
        <v>109.6</v>
      </c>
      <c r="G32" s="56"/>
      <c r="H32" s="56"/>
      <c r="J32" s="37"/>
      <c r="K32" s="37"/>
    </row>
    <row r="33" spans="1:12" ht="15" customHeight="1">
      <c r="A33" s="56"/>
      <c r="B33" s="56"/>
      <c r="C33" s="56"/>
      <c r="D33" s="56"/>
      <c r="E33" s="56"/>
      <c r="F33" s="56"/>
      <c r="G33" s="56"/>
      <c r="H33" s="56"/>
      <c r="J33" s="52">
        <f>D28/5</f>
        <v>25</v>
      </c>
      <c r="K33" s="37">
        <f>VLOOKUP(J11,'KT-Beiträge M'!A:B,2,FALSE)</f>
        <v>2.58</v>
      </c>
      <c r="L33" s="37">
        <f>IF(INT(J33)=J33,0,1)</f>
        <v>0</v>
      </c>
    </row>
    <row r="34" spans="1:12" ht="15" customHeight="1">
      <c r="A34" s="56"/>
      <c r="B34" s="120" t="str">
        <f>IF(D32&gt;500,"Versicherbares Höchsttagegeld überschritten, bitte auf insgesamt 500 € reduzieren.",IF(D32&gt;D24,(CONCATENATE("Versicherbares Tagegeld (Nettoeinkommen) überschritten, bitte auf insgesamt ",D24," € reduzieren.")),IF(D24&gt;D32,(CONCATENATE("ACHTUNG Absicherungslücke in Höhe von ",D24-D32," €!")),"")))</f>
        <v/>
      </c>
      <c r="C34" s="134"/>
      <c r="D34" s="134"/>
      <c r="E34" s="134"/>
      <c r="F34" s="134"/>
      <c r="G34" s="134"/>
      <c r="H34" s="56"/>
      <c r="J34" s="37">
        <f>D29/5</f>
        <v>10</v>
      </c>
      <c r="K34" s="37">
        <f>VLOOKUP(J11,'KT-Beiträge M'!A:C,3,FALSE)</f>
        <v>2.11</v>
      </c>
      <c r="L34" s="37">
        <f>IF(INT(J34)=J34,0,1)</f>
        <v>0</v>
      </c>
    </row>
    <row r="35" spans="1:12" ht="15" customHeight="1">
      <c r="A35" s="56"/>
      <c r="B35" s="134"/>
      <c r="C35" s="134"/>
      <c r="D35" s="134"/>
      <c r="E35" s="134"/>
      <c r="F35" s="134"/>
      <c r="G35" s="134"/>
      <c r="H35" s="56"/>
      <c r="J35" s="52">
        <f>D30/5</f>
        <v>10</v>
      </c>
      <c r="K35" s="37">
        <f>VLOOKUP(J11,'KT-Beiträge M'!A:J,J31,FALSE)</f>
        <v>2.4</v>
      </c>
      <c r="L35" s="37">
        <f>IF(INT(J35)=J35,0,1)</f>
        <v>0</v>
      </c>
    </row>
    <row r="36" spans="1:12" ht="15" customHeight="1">
      <c r="A36" s="38"/>
      <c r="B36" s="38"/>
      <c r="C36" s="38"/>
      <c r="D36" s="38"/>
      <c r="E36" s="38"/>
      <c r="F36" s="38"/>
      <c r="G36" s="38"/>
      <c r="H36" s="38"/>
      <c r="J36" s="52"/>
      <c r="K36" s="37"/>
      <c r="L36" s="37"/>
    </row>
    <row r="37" spans="1:12" ht="15" customHeight="1">
      <c r="A37" s="38"/>
      <c r="B37" s="38"/>
      <c r="C37" s="38"/>
      <c r="D37" s="38"/>
      <c r="E37" s="38"/>
      <c r="F37" s="38"/>
      <c r="G37" s="38"/>
      <c r="H37" s="38"/>
      <c r="J37" s="52"/>
      <c r="K37" s="37"/>
      <c r="L37" s="37"/>
    </row>
    <row r="38" spans="1:12" ht="15" customHeight="1">
      <c r="A38" s="38"/>
      <c r="B38" s="38"/>
      <c r="C38" s="38"/>
      <c r="D38" s="38"/>
      <c r="E38" s="38"/>
      <c r="F38" s="38"/>
      <c r="G38" s="38"/>
      <c r="H38" s="38"/>
      <c r="J38" s="52"/>
      <c r="K38" s="37"/>
      <c r="L38" s="37"/>
    </row>
    <row r="39" spans="1:12" ht="15" customHeight="1">
      <c r="A39" s="38"/>
      <c r="B39" s="38" t="s">
        <v>101</v>
      </c>
      <c r="C39" s="38"/>
      <c r="D39" s="38"/>
      <c r="E39" s="38"/>
      <c r="F39" s="38"/>
      <c r="G39" s="38"/>
      <c r="H39" s="38"/>
      <c r="J39" s="52"/>
      <c r="K39" s="37"/>
      <c r="L39" s="37"/>
    </row>
    <row r="40" spans="1:12" ht="15" customHeight="1">
      <c r="A40" s="38"/>
      <c r="B40" s="38"/>
      <c r="C40" s="38"/>
      <c r="D40" s="38"/>
      <c r="E40" s="38"/>
      <c r="F40" s="38"/>
      <c r="G40" s="38"/>
      <c r="H40" s="38"/>
      <c r="J40" s="37"/>
      <c r="K40" s="37"/>
      <c r="L40" s="37">
        <f>L33+L34+L35</f>
        <v>0</v>
      </c>
    </row>
  </sheetData>
  <mergeCells count="10">
    <mergeCell ref="B26:C26"/>
    <mergeCell ref="B31:F31"/>
    <mergeCell ref="B34:G35"/>
    <mergeCell ref="B15:F15"/>
    <mergeCell ref="B17:F17"/>
    <mergeCell ref="B19:G20"/>
    <mergeCell ref="C21:C22"/>
    <mergeCell ref="E21:G22"/>
    <mergeCell ref="B24:C24"/>
    <mergeCell ref="E24:H25"/>
  </mergeCells>
  <dataValidations count="4">
    <dataValidation type="whole" allowBlank="1" showInputMessage="1" showErrorMessage="1" sqref="D28:D30">
      <formula1>0</formula1>
      <formula2>500</formula2>
    </dataValidation>
    <dataValidation type="list" allowBlank="1" showInputMessage="1" showErrorMessage="1" sqref="G11">
      <formula1>Steuerung!$J$3:$J$52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B30">
      <formula1>Steuerung!$D$26:$D$32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4" r:id="rId6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20">
    <tabColor theme="0" tint="-0.1499900072813034"/>
    <pageSetUpPr fitToPage="1"/>
  </sheetPr>
  <dimension ref="A1:S33"/>
  <sheetViews>
    <sheetView workbookViewId="0" topLeftCell="A1">
      <selection activeCell="H19" sqref="H19"/>
    </sheetView>
  </sheetViews>
  <sheetFormatPr defaultColWidth="0" defaultRowHeight="12.75" zeroHeight="1"/>
  <cols>
    <col min="1" max="1" width="15.28125" style="36" customWidth="1"/>
    <col min="2" max="2" width="9.140625" style="36" customWidth="1"/>
    <col min="3" max="3" width="6.00390625" style="36" customWidth="1"/>
    <col min="4" max="4" width="12.140625" style="36" customWidth="1"/>
    <col min="5" max="5" width="8.28125" style="36" customWidth="1"/>
    <col min="6" max="6" width="13.7109375" style="36" customWidth="1"/>
    <col min="7" max="7" width="12.00390625" style="36" customWidth="1"/>
    <col min="8" max="8" width="13.7109375" style="36" customWidth="1"/>
    <col min="9" max="11" width="11.421875" style="36" hidden="1" customWidth="1"/>
    <col min="12" max="12" width="19.7109375" style="36" hidden="1" customWidth="1"/>
    <col min="13" max="14" width="0" style="36" hidden="1" customWidth="1"/>
    <col min="15" max="15" width="0" style="72" hidden="1" customWidth="1"/>
    <col min="16" max="19" width="0" style="36" hidden="1" customWidth="1"/>
    <col min="20" max="16384" width="11.421875" style="36" hidden="1" customWidth="1"/>
  </cols>
  <sheetData>
    <row r="1" spans="1:11" s="36" customFormat="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s="36" customFormat="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s="36" customFormat="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s="36" customFormat="1" ht="15.75">
      <c r="A4" s="35"/>
      <c r="B4" s="91" t="s">
        <v>83</v>
      </c>
      <c r="C4" s="35"/>
      <c r="D4" s="35"/>
      <c r="E4" s="35"/>
      <c r="F4" s="35"/>
      <c r="G4" s="35"/>
      <c r="H4" s="35"/>
      <c r="J4" s="37"/>
      <c r="K4" s="37"/>
    </row>
    <row r="5" spans="1:11" s="36" customFormat="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s="36" customFormat="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s="36" customFormat="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s="36" customFormat="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s="36" customFormat="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s="36" customFormat="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s="36" customFormat="1" ht="15" customHeight="1">
      <c r="A11" s="56"/>
      <c r="B11" s="39" t="s">
        <v>35</v>
      </c>
      <c r="C11" s="56"/>
      <c r="D11" s="56"/>
      <c r="E11" s="56"/>
      <c r="F11" s="56"/>
      <c r="G11" s="40">
        <v>1987</v>
      </c>
      <c r="H11" s="56"/>
      <c r="J11" s="41">
        <f>YEAR(G13)-G11</f>
        <v>30</v>
      </c>
      <c r="K11" s="37"/>
    </row>
    <row r="12" spans="1:11" s="36" customFormat="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s="36" customFormat="1" ht="15" customHeight="1">
      <c r="A13" s="56"/>
      <c r="B13" s="39" t="s">
        <v>36</v>
      </c>
      <c r="C13" s="56"/>
      <c r="D13" s="56"/>
      <c r="E13" s="56"/>
      <c r="F13" s="56"/>
      <c r="G13" s="42">
        <v>42736</v>
      </c>
      <c r="H13" s="56"/>
      <c r="J13" s="37"/>
      <c r="K13" s="37"/>
    </row>
    <row r="14" spans="1:13" s="36" customFormat="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  <c r="M14" s="63"/>
    </row>
    <row r="15" spans="1:11" s="36" customFormat="1" ht="15" customHeight="1">
      <c r="A15" s="56"/>
      <c r="B15" s="112" t="s">
        <v>51</v>
      </c>
      <c r="C15" s="105"/>
      <c r="D15" s="105"/>
      <c r="E15" s="105"/>
      <c r="F15" s="56"/>
      <c r="G15" s="43">
        <v>6000</v>
      </c>
      <c r="H15" s="56"/>
      <c r="J15" s="37"/>
      <c r="K15" s="37"/>
    </row>
    <row r="16" spans="1:11" s="36" customFormat="1" ht="15" customHeight="1">
      <c r="A16" s="56"/>
      <c r="B16" s="64"/>
      <c r="C16" s="50"/>
      <c r="D16" s="50"/>
      <c r="E16" s="50"/>
      <c r="F16" s="50"/>
      <c r="G16" s="50"/>
      <c r="H16" s="56"/>
      <c r="J16" s="37"/>
      <c r="K16" s="37"/>
    </row>
    <row r="17" spans="1:19" ht="15" customHeight="1">
      <c r="A17" s="56"/>
      <c r="B17" s="112" t="s">
        <v>60</v>
      </c>
      <c r="C17" s="105"/>
      <c r="D17" s="46">
        <f>(ROUNDUP((G15/30)*2,-1)/2)</f>
        <v>200</v>
      </c>
      <c r="E17" s="124" t="str">
        <f>IF(D17&gt;300,"ACHTUNG: versicherbar
sind nur 300 €!","")</f>
        <v/>
      </c>
      <c r="F17" s="125"/>
      <c r="G17" s="125"/>
      <c r="H17" s="105"/>
      <c r="J17" s="37"/>
      <c r="K17" s="37"/>
      <c r="N17" s="65"/>
      <c r="O17" s="65"/>
      <c r="P17" s="65"/>
      <c r="Q17" s="65"/>
      <c r="R17" s="65"/>
      <c r="S17" s="65"/>
    </row>
    <row r="18" spans="1:19" ht="15" customHeight="1">
      <c r="A18" s="56"/>
      <c r="B18" s="56"/>
      <c r="C18" s="56"/>
      <c r="D18" s="56"/>
      <c r="E18" s="105"/>
      <c r="F18" s="105"/>
      <c r="G18" s="105"/>
      <c r="H18" s="105"/>
      <c r="J18" s="37"/>
      <c r="K18" s="37"/>
      <c r="N18" s="65"/>
      <c r="O18" s="65"/>
      <c r="P18" s="65"/>
      <c r="Q18" s="65"/>
      <c r="R18" s="65"/>
      <c r="S18" s="65"/>
    </row>
    <row r="19" spans="1:19" ht="15" customHeight="1">
      <c r="A19" s="56"/>
      <c r="B19" s="112" t="s">
        <v>37</v>
      </c>
      <c r="C19" s="105"/>
      <c r="D19" s="49" t="s">
        <v>39</v>
      </c>
      <c r="E19" s="56"/>
      <c r="F19" s="66" t="s">
        <v>38</v>
      </c>
      <c r="G19" s="56"/>
      <c r="H19" s="56"/>
      <c r="J19" s="41">
        <f>VLOOKUP(B23,Steuerung!D26:E32,2,FALSE)</f>
        <v>6</v>
      </c>
      <c r="K19" s="37"/>
      <c r="N19" s="65"/>
      <c r="O19" s="65"/>
      <c r="P19" s="65"/>
      <c r="Q19" s="65"/>
      <c r="R19" s="65"/>
      <c r="S19" s="65"/>
    </row>
    <row r="20" spans="1:19" ht="15" customHeight="1">
      <c r="A20" s="56"/>
      <c r="B20" s="64"/>
      <c r="C20" s="50"/>
      <c r="D20" s="67" t="s">
        <v>62</v>
      </c>
      <c r="E20" s="56"/>
      <c r="F20" s="58"/>
      <c r="G20" s="56"/>
      <c r="H20" s="56"/>
      <c r="J20" s="37"/>
      <c r="K20" s="37"/>
      <c r="N20" s="65"/>
      <c r="O20" s="65"/>
      <c r="P20" s="65"/>
      <c r="Q20" s="65"/>
      <c r="R20" s="65"/>
      <c r="S20" s="65"/>
    </row>
    <row r="21" spans="1:19" ht="15" customHeight="1">
      <c r="A21" s="56"/>
      <c r="B21" s="39" t="s">
        <v>78</v>
      </c>
      <c r="C21" s="56"/>
      <c r="D21" s="43">
        <v>100</v>
      </c>
      <c r="E21" s="56"/>
      <c r="F21" s="68">
        <f>J21*K21</f>
        <v>36</v>
      </c>
      <c r="G21" s="56"/>
      <c r="H21" s="56"/>
      <c r="J21" s="41">
        <f>D21/5</f>
        <v>20</v>
      </c>
      <c r="K21" s="59">
        <f>VLOOKUP(J11,'KT-Beiträge M'!A:B,2,FALSE)</f>
        <v>1.8</v>
      </c>
      <c r="L21" s="37">
        <f>IF(INT(J21)=J21,0,1)</f>
        <v>0</v>
      </c>
      <c r="N21" s="65"/>
      <c r="O21" s="65"/>
      <c r="P21" s="65"/>
      <c r="Q21" s="65"/>
      <c r="R21" s="65"/>
      <c r="S21" s="65"/>
    </row>
    <row r="22" spans="1:19" ht="15" customHeight="1">
      <c r="A22" s="56"/>
      <c r="B22" s="39" t="s">
        <v>79</v>
      </c>
      <c r="C22" s="56"/>
      <c r="D22" s="43">
        <v>80</v>
      </c>
      <c r="E22" s="56"/>
      <c r="F22" s="68">
        <f>J22*K22</f>
        <v>21.6</v>
      </c>
      <c r="G22" s="56"/>
      <c r="H22" s="56"/>
      <c r="J22" s="41">
        <f>D22/5</f>
        <v>16</v>
      </c>
      <c r="K22" s="59">
        <f>VLOOKUP(J11,'KT-Beiträge M'!A:C,3,FALSE)</f>
        <v>1.35</v>
      </c>
      <c r="L22" s="37">
        <f>IF(INT(J22)=J22,0,1)</f>
        <v>0</v>
      </c>
      <c r="N22" s="65"/>
      <c r="O22" s="65"/>
      <c r="P22" s="65"/>
      <c r="Q22" s="65"/>
      <c r="R22" s="65"/>
      <c r="S22" s="65"/>
    </row>
    <row r="23" spans="1:19" ht="15" customHeight="1">
      <c r="A23" s="56"/>
      <c r="B23" s="69" t="s">
        <v>30</v>
      </c>
      <c r="C23" s="56"/>
      <c r="D23" s="43">
        <v>20</v>
      </c>
      <c r="E23" s="56"/>
      <c r="F23" s="68">
        <f>J23*K23</f>
        <v>4.84</v>
      </c>
      <c r="G23" s="56"/>
      <c r="H23" s="56"/>
      <c r="J23" s="41">
        <f>D23/5</f>
        <v>4</v>
      </c>
      <c r="K23" s="59">
        <f>VLOOKUP(J11,'KT-Beiträge M'!A:J,'P13 HAL'!J19,FALSE)</f>
        <v>1.21</v>
      </c>
      <c r="L23" s="37">
        <f>IF(INT(J23)=J23,0,1)</f>
        <v>0</v>
      </c>
      <c r="N23" s="65"/>
      <c r="O23" s="65"/>
      <c r="P23" s="65"/>
      <c r="Q23" s="70"/>
      <c r="R23" s="65"/>
      <c r="S23" s="70"/>
    </row>
    <row r="24" spans="1:19" ht="15" customHeight="1">
      <c r="A24" s="56"/>
      <c r="B24" s="122" t="str">
        <f>IF(L24&gt;0,"KT-Höhe bitte in 5 €-Schritten wählen!","")</f>
        <v/>
      </c>
      <c r="C24" s="123"/>
      <c r="D24" s="123"/>
      <c r="E24" s="123"/>
      <c r="F24" s="123"/>
      <c r="G24" s="56"/>
      <c r="H24" s="56"/>
      <c r="J24" s="37"/>
      <c r="K24" s="37"/>
      <c r="L24" s="37">
        <f>L21+L22+L23</f>
        <v>0</v>
      </c>
      <c r="N24" s="65"/>
      <c r="O24" s="65"/>
      <c r="P24" s="65"/>
      <c r="Q24" s="65"/>
      <c r="R24" s="65"/>
      <c r="S24" s="65"/>
    </row>
    <row r="25" spans="1:19" ht="15" customHeight="1">
      <c r="A25" s="56"/>
      <c r="B25" s="39" t="s">
        <v>61</v>
      </c>
      <c r="C25" s="56"/>
      <c r="D25" s="46">
        <f>D21+D22+D23</f>
        <v>200</v>
      </c>
      <c r="E25" s="56"/>
      <c r="F25" s="71">
        <f>F21+F22+F23</f>
        <v>62.44</v>
      </c>
      <c r="G25" s="56"/>
      <c r="H25" s="56"/>
      <c r="J25" s="37"/>
      <c r="K25" s="37"/>
      <c r="N25" s="65"/>
      <c r="O25" s="65"/>
      <c r="P25" s="65"/>
      <c r="Q25" s="65"/>
      <c r="R25" s="65"/>
      <c r="S25" s="65"/>
    </row>
    <row r="26" spans="1:19" ht="15" customHeight="1">
      <c r="A26" s="56"/>
      <c r="B26" s="56"/>
      <c r="C26" s="56"/>
      <c r="D26" s="56"/>
      <c r="E26" s="56"/>
      <c r="F26" s="56"/>
      <c r="G26" s="56"/>
      <c r="H26" s="56"/>
      <c r="J26" s="37"/>
      <c r="K26" s="37"/>
      <c r="N26" s="65"/>
      <c r="O26" s="65"/>
      <c r="P26" s="65"/>
      <c r="Q26" s="65"/>
      <c r="R26" s="65"/>
      <c r="S26" s="65"/>
    </row>
    <row r="27" spans="1:19" ht="15" customHeight="1">
      <c r="A27" s="56"/>
      <c r="B27" s="120" t="str">
        <f>IF(D25&gt;300,"Versicherbares Höchsttagegeld überschritten, bitte auf insgesamt 300 € reduzieren.",IF(D25&gt;D17,(CONCATENATE("Versicherbares Tagegeld (Nettoeinkommen) überschritten, bitte auf insgesamt ",D17," € reduzieren.")),IF(D17&gt;D25,(CONCATENATE("ACHTUNG Absicherungslücke in Höhe von ",D17-D25," €!")),"")))</f>
        <v/>
      </c>
      <c r="C27" s="134"/>
      <c r="D27" s="134"/>
      <c r="E27" s="134"/>
      <c r="F27" s="134"/>
      <c r="G27" s="134"/>
      <c r="H27" s="56"/>
      <c r="J27" s="37"/>
      <c r="K27" s="37"/>
      <c r="N27" s="65"/>
      <c r="O27" s="65"/>
      <c r="P27" s="65"/>
      <c r="Q27" s="65"/>
      <c r="R27" s="65"/>
      <c r="S27" s="65"/>
    </row>
    <row r="28" spans="1:11" ht="15" customHeight="1">
      <c r="A28" s="56"/>
      <c r="B28" s="134"/>
      <c r="C28" s="134"/>
      <c r="D28" s="134"/>
      <c r="E28" s="134"/>
      <c r="F28" s="134"/>
      <c r="G28" s="134"/>
      <c r="H28" s="56"/>
      <c r="J28" s="37"/>
      <c r="K28" s="37"/>
    </row>
    <row r="29" spans="1:11" ht="15" customHeight="1">
      <c r="A29" s="56"/>
      <c r="B29" s="50"/>
      <c r="C29" s="50"/>
      <c r="D29" s="50"/>
      <c r="E29" s="50"/>
      <c r="F29" s="50"/>
      <c r="G29" s="50"/>
      <c r="H29" s="56"/>
      <c r="J29" s="37"/>
      <c r="K29" s="37"/>
    </row>
    <row r="30" spans="1:11" ht="15" customHeight="1">
      <c r="A30" s="56"/>
      <c r="B30" s="50"/>
      <c r="C30" s="50"/>
      <c r="D30" s="50"/>
      <c r="E30" s="50"/>
      <c r="F30" s="50"/>
      <c r="G30" s="50"/>
      <c r="H30" s="56"/>
      <c r="J30" s="37"/>
      <c r="K30" s="37"/>
    </row>
    <row r="31" spans="1:11" ht="15" customHeight="1">
      <c r="A31" s="56"/>
      <c r="B31" s="50"/>
      <c r="C31" s="50"/>
      <c r="D31" s="50"/>
      <c r="E31" s="50"/>
      <c r="F31" s="50"/>
      <c r="G31" s="50"/>
      <c r="H31" s="56"/>
      <c r="J31" s="37"/>
      <c r="K31" s="37"/>
    </row>
    <row r="32" spans="1:11" ht="15" customHeight="1">
      <c r="A32" s="38"/>
      <c r="B32" s="38" t="s">
        <v>101</v>
      </c>
      <c r="C32" s="50"/>
      <c r="D32" s="50"/>
      <c r="E32" s="50"/>
      <c r="F32" s="50"/>
      <c r="G32" s="50"/>
      <c r="H32" s="38"/>
      <c r="J32" s="37"/>
      <c r="K32" s="37"/>
    </row>
    <row r="33" spans="1:11" ht="15" customHeight="1">
      <c r="A33" s="38"/>
      <c r="B33" s="50"/>
      <c r="C33" s="50"/>
      <c r="D33" s="50"/>
      <c r="E33" s="50"/>
      <c r="F33" s="50"/>
      <c r="G33" s="50"/>
      <c r="H33" s="38"/>
      <c r="J33" s="37"/>
      <c r="K33" s="37"/>
    </row>
  </sheetData>
  <mergeCells count="6">
    <mergeCell ref="B27:G28"/>
    <mergeCell ref="B15:E15"/>
    <mergeCell ref="B17:C17"/>
    <mergeCell ref="B19:C19"/>
    <mergeCell ref="B24:F24"/>
    <mergeCell ref="E17:H18"/>
  </mergeCells>
  <dataValidations count="4">
    <dataValidation type="whole" allowBlank="1" showInputMessage="1" showErrorMessage="1" sqref="D21:D23">
      <formula1>0</formula1>
      <formula2>300</formula2>
    </dataValidation>
    <dataValidation type="list" allowBlank="1" showInputMessage="1" showErrorMessage="1" sqref="B23">
      <formula1>Steuerung!$D$26:$D$32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8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1">
    <tabColor theme="0" tint="-0.1499900072813034"/>
    <pageSetUpPr fitToPage="1"/>
  </sheetPr>
  <dimension ref="A1:S40"/>
  <sheetViews>
    <sheetView workbookViewId="0" topLeftCell="A1">
      <selection activeCell="E24" sqref="E24:H25"/>
    </sheetView>
  </sheetViews>
  <sheetFormatPr defaultColWidth="0" defaultRowHeight="12.75" zeroHeight="1"/>
  <cols>
    <col min="1" max="1" width="15.421875" style="36" customWidth="1"/>
    <col min="2" max="2" width="9.140625" style="36" customWidth="1"/>
    <col min="3" max="3" width="11.8515625" style="36" customWidth="1"/>
    <col min="4" max="4" width="9.7109375" style="36" customWidth="1"/>
    <col min="5" max="5" width="9.00390625" style="36" customWidth="1"/>
    <col min="6" max="6" width="13.7109375" style="36" customWidth="1"/>
    <col min="7" max="7" width="11.57421875" style="36" customWidth="1"/>
    <col min="8" max="8" width="15.57421875" style="36" customWidth="1"/>
    <col min="9" max="9" width="11.421875" style="36" hidden="1" customWidth="1"/>
    <col min="10" max="10" width="14.8515625" style="36" hidden="1" customWidth="1"/>
    <col min="11" max="11" width="11.421875" style="36" hidden="1" customWidth="1"/>
    <col min="12" max="12" width="19.7109375" style="36" hidden="1" customWidth="1"/>
    <col min="13" max="19" width="0" style="36" hidden="1" customWidth="1"/>
    <col min="20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ht="15.75">
      <c r="A4" s="35"/>
      <c r="B4" s="91" t="s">
        <v>86</v>
      </c>
      <c r="C4" s="35"/>
      <c r="D4" s="35"/>
      <c r="E4" s="35"/>
      <c r="F4" s="35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ht="15" customHeight="1">
      <c r="A11" s="56"/>
      <c r="B11" s="39" t="s">
        <v>35</v>
      </c>
      <c r="C11" s="56"/>
      <c r="D11" s="56"/>
      <c r="E11" s="56"/>
      <c r="F11" s="56"/>
      <c r="G11" s="40">
        <v>1987</v>
      </c>
      <c r="H11" s="56"/>
      <c r="J11" s="41">
        <f>YEAR(G13)-G11</f>
        <v>30</v>
      </c>
      <c r="K11" s="37"/>
    </row>
    <row r="12" spans="1:1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ht="15" customHeight="1">
      <c r="A13" s="56"/>
      <c r="B13" s="39" t="s">
        <v>36</v>
      </c>
      <c r="C13" s="56"/>
      <c r="D13" s="56"/>
      <c r="E13" s="56"/>
      <c r="F13" s="56"/>
      <c r="G13" s="42">
        <v>42736</v>
      </c>
      <c r="H13" s="56"/>
      <c r="J13" s="37"/>
      <c r="K13" s="37"/>
    </row>
    <row r="14" spans="1:1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</row>
    <row r="15" spans="1:11" ht="15" customHeight="1">
      <c r="A15" s="56"/>
      <c r="B15" s="112" t="s">
        <v>75</v>
      </c>
      <c r="C15" s="105"/>
      <c r="D15" s="105"/>
      <c r="E15" s="105"/>
      <c r="F15" s="126"/>
      <c r="G15" s="43">
        <v>120000</v>
      </c>
      <c r="H15" s="56"/>
      <c r="J15" s="62" t="s">
        <v>40</v>
      </c>
      <c r="K15" s="62">
        <f>G15/12</f>
        <v>10000</v>
      </c>
    </row>
    <row r="16" spans="1:11" ht="15" customHeight="1">
      <c r="A16" s="56"/>
      <c r="B16" s="56"/>
      <c r="C16" s="56"/>
      <c r="D16" s="56"/>
      <c r="E16" s="56"/>
      <c r="F16" s="56"/>
      <c r="G16" s="56"/>
      <c r="H16" s="56"/>
      <c r="J16" s="60" t="s">
        <v>45</v>
      </c>
      <c r="K16" s="62">
        <f>K15*0.7</f>
        <v>7000</v>
      </c>
    </row>
    <row r="17" spans="1:11" ht="15" customHeight="1">
      <c r="A17" s="56"/>
      <c r="B17" s="112" t="s">
        <v>76</v>
      </c>
      <c r="C17" s="105"/>
      <c r="D17" s="105"/>
      <c r="E17" s="105"/>
      <c r="F17" s="126"/>
      <c r="G17" s="43">
        <v>80000</v>
      </c>
      <c r="H17" s="56"/>
      <c r="J17" s="37" t="s">
        <v>41</v>
      </c>
      <c r="K17" s="37">
        <f>IF(K16&lt;Steuerung!F2,K16,Steuerung!F2)</f>
        <v>3281.25</v>
      </c>
    </row>
    <row r="18" spans="1:11" ht="15" customHeight="1">
      <c r="A18" s="56"/>
      <c r="B18" s="56"/>
      <c r="C18" s="56"/>
      <c r="D18" s="56"/>
      <c r="E18" s="56"/>
      <c r="F18" s="56"/>
      <c r="G18" s="56"/>
      <c r="H18" s="56"/>
      <c r="J18" s="37" t="s">
        <v>69</v>
      </c>
      <c r="K18" s="62">
        <f>K17*Steuerung!F5*2</f>
        <v>116.48437499999999</v>
      </c>
    </row>
    <row r="19" spans="1:11" ht="15" customHeight="1">
      <c r="A19" s="56"/>
      <c r="B19" s="103" t="s">
        <v>66</v>
      </c>
      <c r="C19" s="104"/>
      <c r="D19" s="104"/>
      <c r="E19" s="104"/>
      <c r="F19" s="104"/>
      <c r="G19" s="104"/>
      <c r="H19" s="56"/>
      <c r="J19" s="37" t="s">
        <v>65</v>
      </c>
      <c r="K19" s="62">
        <f>G17/12</f>
        <v>6666.666666666667</v>
      </c>
    </row>
    <row r="20" spans="1:11" ht="15" customHeight="1">
      <c r="A20" s="56"/>
      <c r="B20" s="114"/>
      <c r="C20" s="114"/>
      <c r="D20" s="114"/>
      <c r="E20" s="114"/>
      <c r="F20" s="114"/>
      <c r="G20" s="114"/>
      <c r="H20" s="56"/>
      <c r="J20" s="37" t="s">
        <v>44</v>
      </c>
      <c r="K20" s="62">
        <f>K19-K17+K18</f>
        <v>3501.901041666667</v>
      </c>
    </row>
    <row r="21" spans="1:11" ht="15" customHeight="1">
      <c r="A21" s="56"/>
      <c r="B21" s="56"/>
      <c r="C21" s="135" t="s">
        <v>67</v>
      </c>
      <c r="D21" s="56"/>
      <c r="E21" s="137" t="s">
        <v>68</v>
      </c>
      <c r="F21" s="105"/>
      <c r="G21" s="105"/>
      <c r="H21" s="56"/>
      <c r="J21" s="37" t="s">
        <v>43</v>
      </c>
      <c r="K21" s="62">
        <f>K20/30</f>
        <v>116.73003472222223</v>
      </c>
    </row>
    <row r="22" spans="1:11" ht="15" customHeight="1">
      <c r="A22" s="56"/>
      <c r="B22" s="56"/>
      <c r="C22" s="136"/>
      <c r="D22" s="56"/>
      <c r="E22" s="138"/>
      <c r="F22" s="105"/>
      <c r="G22" s="105"/>
      <c r="H22" s="56"/>
      <c r="J22" s="37"/>
      <c r="K22" s="37">
        <f>ROUNDUP((K21)*2,-1)/2</f>
        <v>120</v>
      </c>
    </row>
    <row r="23" spans="1:19" ht="15" customHeight="1">
      <c r="A23" s="56"/>
      <c r="B23" s="56"/>
      <c r="C23" s="56"/>
      <c r="D23" s="56"/>
      <c r="E23" s="56"/>
      <c r="F23" s="56"/>
      <c r="G23" s="56"/>
      <c r="H23" s="56"/>
      <c r="J23" s="37"/>
      <c r="K23" s="37"/>
      <c r="Q23" s="45"/>
      <c r="R23" s="45"/>
      <c r="S23" s="45"/>
    </row>
    <row r="24" spans="1:11" ht="15" customHeight="1">
      <c r="A24" s="56"/>
      <c r="B24" s="112" t="s">
        <v>60</v>
      </c>
      <c r="C24" s="112"/>
      <c r="D24" s="46">
        <f>IF(K24=1,K26,K27)</f>
        <v>225</v>
      </c>
      <c r="E24" s="120" t="str">
        <f>IF(D24&gt;300,"ACHTUNG: versicherbar sind nur 300 €!","")</f>
        <v/>
      </c>
      <c r="F24" s="120"/>
      <c r="G24" s="120"/>
      <c r="H24" s="105"/>
      <c r="J24" s="62"/>
      <c r="K24" s="79">
        <v>2</v>
      </c>
    </row>
    <row r="25" spans="1:11" ht="15" customHeight="1">
      <c r="A25" s="56"/>
      <c r="B25" s="56"/>
      <c r="C25" s="56"/>
      <c r="D25" s="56"/>
      <c r="E25" s="120"/>
      <c r="F25" s="120"/>
      <c r="G25" s="120"/>
      <c r="H25" s="105"/>
      <c r="J25" s="62"/>
      <c r="K25" s="62"/>
    </row>
    <row r="26" spans="1:11" ht="15" customHeight="1">
      <c r="A26" s="56"/>
      <c r="B26" s="112" t="s">
        <v>37</v>
      </c>
      <c r="C26" s="105"/>
      <c r="D26" s="49" t="s">
        <v>39</v>
      </c>
      <c r="E26" s="56"/>
      <c r="F26" s="66" t="s">
        <v>38</v>
      </c>
      <c r="G26" s="56"/>
      <c r="H26" s="56"/>
      <c r="J26" s="60" t="s">
        <v>70</v>
      </c>
      <c r="K26" s="62">
        <f>K22</f>
        <v>120</v>
      </c>
    </row>
    <row r="27" spans="1:11" ht="15" customHeight="1">
      <c r="A27" s="56"/>
      <c r="B27" s="64"/>
      <c r="C27" s="50"/>
      <c r="D27" s="67" t="s">
        <v>62</v>
      </c>
      <c r="E27" s="56"/>
      <c r="F27" s="58"/>
      <c r="G27" s="56"/>
      <c r="H27" s="56"/>
      <c r="J27" s="37" t="s">
        <v>71</v>
      </c>
      <c r="K27" s="62">
        <f>ROUNDUP((K19/30)*2,-1)/2</f>
        <v>225</v>
      </c>
    </row>
    <row r="28" spans="1:11" ht="15" customHeight="1">
      <c r="A28" s="56"/>
      <c r="B28" s="39" t="s">
        <v>78</v>
      </c>
      <c r="C28" s="56"/>
      <c r="D28" s="43">
        <v>100</v>
      </c>
      <c r="E28" s="56"/>
      <c r="F28" s="68">
        <f>J33*K33</f>
        <v>36</v>
      </c>
      <c r="G28" s="56"/>
      <c r="H28" s="56"/>
      <c r="J28" s="37"/>
      <c r="K28" s="62"/>
    </row>
    <row r="29" spans="1:11" ht="15" customHeight="1">
      <c r="A29" s="56"/>
      <c r="B29" s="39" t="s">
        <v>79</v>
      </c>
      <c r="C29" s="56"/>
      <c r="D29" s="43">
        <v>100</v>
      </c>
      <c r="E29" s="56"/>
      <c r="F29" s="68">
        <f>J34*K34</f>
        <v>27</v>
      </c>
      <c r="G29" s="56"/>
      <c r="H29" s="56"/>
      <c r="J29" s="37" t="s">
        <v>72</v>
      </c>
      <c r="K29" s="62">
        <f>D24</f>
        <v>225</v>
      </c>
    </row>
    <row r="30" spans="1:11" ht="15" customHeight="1">
      <c r="A30" s="56"/>
      <c r="B30" s="69" t="s">
        <v>30</v>
      </c>
      <c r="C30" s="56"/>
      <c r="D30" s="43">
        <v>25</v>
      </c>
      <c r="E30" s="56"/>
      <c r="F30" s="68">
        <f>J35*K35</f>
        <v>6.05</v>
      </c>
      <c r="G30" s="56"/>
      <c r="H30" s="56"/>
      <c r="J30" s="37"/>
      <c r="K30" s="88"/>
    </row>
    <row r="31" spans="1:11" ht="15" customHeight="1">
      <c r="A31" s="56"/>
      <c r="B31" s="122" t="str">
        <f>IF(L40&gt;0,"KT-Höhe bitte in 5 €-Schritten wählen!","")</f>
        <v/>
      </c>
      <c r="C31" s="123"/>
      <c r="D31" s="123"/>
      <c r="E31" s="123"/>
      <c r="F31" s="123"/>
      <c r="G31" s="56"/>
      <c r="H31" s="56"/>
      <c r="J31" s="41">
        <f>VLOOKUP(B30,Steuerung!D26:E32,2,FALSE)</f>
        <v>6</v>
      </c>
      <c r="K31" s="37"/>
    </row>
    <row r="32" spans="1:11" ht="15" customHeight="1">
      <c r="A32" s="56"/>
      <c r="B32" s="39" t="s">
        <v>61</v>
      </c>
      <c r="C32" s="56"/>
      <c r="D32" s="46">
        <f>D28+D29+D30</f>
        <v>225</v>
      </c>
      <c r="E32" s="56"/>
      <c r="F32" s="71">
        <f>F28+F29+F30</f>
        <v>69.05</v>
      </c>
      <c r="G32" s="56"/>
      <c r="H32" s="56"/>
      <c r="J32" s="37"/>
      <c r="K32" s="37"/>
    </row>
    <row r="33" spans="1:12" ht="15" customHeight="1">
      <c r="A33" s="56"/>
      <c r="B33" s="56"/>
      <c r="C33" s="56"/>
      <c r="D33" s="56"/>
      <c r="E33" s="56"/>
      <c r="F33" s="56"/>
      <c r="G33" s="56"/>
      <c r="H33" s="56"/>
      <c r="J33" s="52">
        <f>D28/5</f>
        <v>20</v>
      </c>
      <c r="K33" s="37">
        <f>VLOOKUP(J11,'KT-Beiträge M'!A:B,2,FALSE)</f>
        <v>1.8</v>
      </c>
      <c r="L33" s="37">
        <f>IF(INT(J33)=J33,0,1)</f>
        <v>0</v>
      </c>
    </row>
    <row r="34" spans="1:12" ht="15" customHeight="1">
      <c r="A34" s="56"/>
      <c r="B34" s="120" t="str">
        <f>IF(D32&gt;300,"Versicherbares Höchsttagegeld überschritten, bitte auf insgesamt 300 € reduzieren.",IF(D32&gt;D24,(CONCATENATE("Versicherbares Tagegeld (Nettoeinkommen) überschritten, bitte auf insgesamt ",D24," € reduzieren.")),IF(D24&gt;D32,(CONCATENATE("ACHTUNG Absicherungslücke in Höhe von ",D24-D32," €!")),"")))</f>
        <v/>
      </c>
      <c r="C34" s="134"/>
      <c r="D34" s="134"/>
      <c r="E34" s="134"/>
      <c r="F34" s="134"/>
      <c r="G34" s="134"/>
      <c r="H34" s="56"/>
      <c r="J34" s="37">
        <f>D29/5</f>
        <v>20</v>
      </c>
      <c r="K34" s="37">
        <f>VLOOKUP(J11,'KT-Beiträge M'!A:C,3,FALSE)</f>
        <v>1.35</v>
      </c>
      <c r="L34" s="37">
        <f>IF(INT(J34)=J34,0,1)</f>
        <v>0</v>
      </c>
    </row>
    <row r="35" spans="1:12" ht="15" customHeight="1">
      <c r="A35" s="56"/>
      <c r="B35" s="134"/>
      <c r="C35" s="134"/>
      <c r="D35" s="134"/>
      <c r="E35" s="134"/>
      <c r="F35" s="134"/>
      <c r="G35" s="134"/>
      <c r="H35" s="56"/>
      <c r="J35" s="52">
        <f>D30/5</f>
        <v>5</v>
      </c>
      <c r="K35" s="37">
        <f>VLOOKUP(J11,'KT-Beiträge M'!A:J,J31,FALSE)</f>
        <v>1.21</v>
      </c>
      <c r="L35" s="37">
        <f>IF(INT(J35)=J35,0,1)</f>
        <v>0</v>
      </c>
    </row>
    <row r="36" spans="1:12" ht="15" customHeight="1">
      <c r="A36" s="56"/>
      <c r="B36" s="56"/>
      <c r="C36" s="56"/>
      <c r="D36" s="56"/>
      <c r="E36" s="56"/>
      <c r="F36" s="56"/>
      <c r="G36" s="56"/>
      <c r="H36" s="56"/>
      <c r="J36" s="52"/>
      <c r="K36" s="37"/>
      <c r="L36" s="37"/>
    </row>
    <row r="37" spans="1:12" ht="15" customHeight="1">
      <c r="A37" s="56"/>
      <c r="B37" s="56"/>
      <c r="C37" s="56"/>
      <c r="D37" s="56"/>
      <c r="E37" s="56"/>
      <c r="F37" s="56"/>
      <c r="G37" s="56"/>
      <c r="H37" s="56"/>
      <c r="J37" s="52"/>
      <c r="K37" s="37"/>
      <c r="L37" s="37"/>
    </row>
    <row r="38" spans="1:12" ht="15" customHeight="1">
      <c r="A38" s="56"/>
      <c r="B38" s="56"/>
      <c r="C38" s="56"/>
      <c r="D38" s="56"/>
      <c r="E38" s="56"/>
      <c r="F38" s="56"/>
      <c r="G38" s="56"/>
      <c r="H38" s="56"/>
      <c r="J38" s="52"/>
      <c r="K38" s="37"/>
      <c r="L38" s="37"/>
    </row>
    <row r="39" spans="1:12" ht="15" customHeight="1">
      <c r="A39" s="38"/>
      <c r="B39" s="38" t="s">
        <v>101</v>
      </c>
      <c r="C39" s="38"/>
      <c r="D39" s="38"/>
      <c r="E39" s="38"/>
      <c r="F39" s="38"/>
      <c r="G39" s="38"/>
      <c r="H39" s="38"/>
      <c r="J39" s="52"/>
      <c r="K39" s="37"/>
      <c r="L39" s="37"/>
    </row>
    <row r="40" spans="1:12" ht="15" customHeight="1">
      <c r="A40" s="38"/>
      <c r="B40" s="38"/>
      <c r="C40" s="38"/>
      <c r="D40" s="38"/>
      <c r="E40" s="38"/>
      <c r="F40" s="38"/>
      <c r="G40" s="38"/>
      <c r="H40" s="38"/>
      <c r="J40" s="37"/>
      <c r="K40" s="37"/>
      <c r="L40" s="37">
        <f>L33+L34+L35</f>
        <v>0</v>
      </c>
    </row>
  </sheetData>
  <mergeCells count="10">
    <mergeCell ref="B26:C26"/>
    <mergeCell ref="B31:F31"/>
    <mergeCell ref="B34:G35"/>
    <mergeCell ref="B15:F15"/>
    <mergeCell ref="B17:F17"/>
    <mergeCell ref="B19:G20"/>
    <mergeCell ref="C21:C22"/>
    <mergeCell ref="E21:G22"/>
    <mergeCell ref="B24:C24"/>
    <mergeCell ref="E24:H25"/>
  </mergeCells>
  <dataValidations count="4">
    <dataValidation type="whole" allowBlank="1" showInputMessage="1" showErrorMessage="1" sqref="D28:D30">
      <formula1>0</formula1>
      <formula2>300</formula2>
    </dataValidation>
    <dataValidation type="list" allowBlank="1" showInputMessage="1" showErrorMessage="1" sqref="B30">
      <formula1>Steuerung!$D$26:$D$32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3" r:id="rId6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2">
    <tabColor theme="0" tint="-0.1499900072813034"/>
    <pageSetUpPr fitToPage="1"/>
  </sheetPr>
  <dimension ref="A1:S33"/>
  <sheetViews>
    <sheetView workbookViewId="0" topLeftCell="A1">
      <selection activeCell="H19" sqref="H19"/>
    </sheetView>
  </sheetViews>
  <sheetFormatPr defaultColWidth="0" defaultRowHeight="12.75" zeroHeight="1"/>
  <cols>
    <col min="1" max="1" width="16.140625" style="36" customWidth="1"/>
    <col min="2" max="2" width="9.140625" style="36" customWidth="1"/>
    <col min="3" max="3" width="6.00390625" style="36" customWidth="1"/>
    <col min="4" max="4" width="12.140625" style="36" customWidth="1"/>
    <col min="5" max="5" width="7.7109375" style="36" customWidth="1"/>
    <col min="6" max="6" width="13.8515625" style="36" customWidth="1"/>
    <col min="7" max="7" width="11.57421875" style="36" customWidth="1"/>
    <col min="8" max="8" width="18.00390625" style="36" customWidth="1"/>
    <col min="9" max="11" width="11.421875" style="36" hidden="1" customWidth="1"/>
    <col min="12" max="12" width="19.7109375" style="36" hidden="1" customWidth="1"/>
    <col min="13" max="14" width="0" style="36" hidden="1" customWidth="1"/>
    <col min="15" max="15" width="0" style="72" hidden="1" customWidth="1"/>
    <col min="16" max="19" width="0" style="36" hidden="1" customWidth="1"/>
    <col min="20" max="16383" width="11.421875" style="36" hidden="1" customWidth="1"/>
    <col min="16384" max="16384" width="5.28125" style="36" hidden="1" customWidth="1"/>
  </cols>
  <sheetData>
    <row r="1" spans="1:11" s="36" customFormat="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s="36" customFormat="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s="36" customFormat="1" ht="20.25">
      <c r="A3" s="35"/>
      <c r="B3" s="90" t="s">
        <v>102</v>
      </c>
      <c r="C3" s="92"/>
      <c r="D3" s="92"/>
      <c r="E3" s="92"/>
      <c r="F3" s="92"/>
      <c r="G3" s="35"/>
      <c r="H3" s="35"/>
      <c r="J3" s="37"/>
      <c r="K3" s="37"/>
    </row>
    <row r="4" spans="1:11" s="36" customFormat="1" ht="15.75">
      <c r="A4" s="35"/>
      <c r="B4" s="139" t="s">
        <v>105</v>
      </c>
      <c r="C4" s="140"/>
      <c r="D4" s="140"/>
      <c r="E4" s="140"/>
      <c r="F4" s="140"/>
      <c r="G4" s="35"/>
      <c r="H4" s="35"/>
      <c r="J4" s="37"/>
      <c r="K4" s="37"/>
    </row>
    <row r="5" spans="1:11" s="36" customFormat="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s="36" customFormat="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s="36" customFormat="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s="36" customFormat="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s="36" customFormat="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s="36" customFormat="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s="36" customFormat="1" ht="15" customHeight="1">
      <c r="A11" s="56"/>
      <c r="B11" s="39" t="s">
        <v>35</v>
      </c>
      <c r="C11" s="56"/>
      <c r="D11" s="56"/>
      <c r="E11" s="56"/>
      <c r="F11" s="56"/>
      <c r="G11" s="40">
        <v>1987</v>
      </c>
      <c r="H11" s="56"/>
      <c r="J11" s="41">
        <f>YEAR(G13)-G11</f>
        <v>30</v>
      </c>
      <c r="K11" s="37"/>
    </row>
    <row r="12" spans="1:11" s="36" customFormat="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s="36" customFormat="1" ht="15" customHeight="1">
      <c r="A13" s="56"/>
      <c r="B13" s="39" t="s">
        <v>36</v>
      </c>
      <c r="C13" s="56"/>
      <c r="D13" s="56"/>
      <c r="E13" s="56"/>
      <c r="F13" s="56"/>
      <c r="G13" s="42">
        <v>42736</v>
      </c>
      <c r="H13" s="56"/>
      <c r="J13" s="37"/>
      <c r="K13" s="37"/>
    </row>
    <row r="14" spans="1:13" s="36" customFormat="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  <c r="M14" s="63"/>
    </row>
    <row r="15" spans="1:11" s="36" customFormat="1" ht="15" customHeight="1">
      <c r="A15" s="56"/>
      <c r="B15" s="112" t="s">
        <v>51</v>
      </c>
      <c r="C15" s="105"/>
      <c r="D15" s="105"/>
      <c r="E15" s="105"/>
      <c r="F15" s="56"/>
      <c r="G15" s="43">
        <v>6000</v>
      </c>
      <c r="H15" s="56"/>
      <c r="J15" s="37"/>
      <c r="K15" s="37"/>
    </row>
    <row r="16" spans="1:11" s="36" customFormat="1" ht="15" customHeight="1">
      <c r="A16" s="56"/>
      <c r="B16" s="64"/>
      <c r="C16" s="50"/>
      <c r="D16" s="50"/>
      <c r="E16" s="50"/>
      <c r="F16" s="50"/>
      <c r="G16" s="50"/>
      <c r="H16" s="56"/>
      <c r="J16" s="37"/>
      <c r="K16" s="37"/>
    </row>
    <row r="17" spans="1:19" ht="15" customHeight="1">
      <c r="A17" s="56"/>
      <c r="B17" s="112" t="s">
        <v>60</v>
      </c>
      <c r="C17" s="105"/>
      <c r="D17" s="46">
        <f>(ROUNDUP((G15/30)*2,-1)/2)</f>
        <v>200</v>
      </c>
      <c r="E17" s="124" t="str">
        <f>IF(D17&gt;500,"ACHTUNG: versicherbar
sind nur 500 €!","")</f>
        <v/>
      </c>
      <c r="F17" s="125"/>
      <c r="G17" s="125"/>
      <c r="H17" s="105"/>
      <c r="J17" s="37"/>
      <c r="K17" s="37"/>
      <c r="N17" s="65"/>
      <c r="O17" s="65"/>
      <c r="P17" s="65"/>
      <c r="Q17" s="65"/>
      <c r="R17" s="65"/>
      <c r="S17" s="65"/>
    </row>
    <row r="18" spans="1:19" ht="15" customHeight="1">
      <c r="A18" s="56"/>
      <c r="B18" s="56"/>
      <c r="C18" s="56"/>
      <c r="D18" s="56"/>
      <c r="E18" s="105"/>
      <c r="F18" s="105"/>
      <c r="G18" s="105"/>
      <c r="H18" s="105"/>
      <c r="J18" s="37"/>
      <c r="K18" s="37"/>
      <c r="N18" s="65"/>
      <c r="O18" s="65"/>
      <c r="P18" s="65"/>
      <c r="Q18" s="65"/>
      <c r="R18" s="65"/>
      <c r="S18" s="65"/>
    </row>
    <row r="19" spans="1:19" ht="15" customHeight="1">
      <c r="A19" s="56"/>
      <c r="B19" s="112" t="s">
        <v>37</v>
      </c>
      <c r="C19" s="105"/>
      <c r="D19" s="49" t="s">
        <v>39</v>
      </c>
      <c r="E19" s="56"/>
      <c r="F19" s="66" t="s">
        <v>38</v>
      </c>
      <c r="G19" s="56"/>
      <c r="H19" s="56"/>
      <c r="J19" s="41">
        <f>VLOOKUP(B23,Steuerung!D26:E32,2,FALSE)</f>
        <v>6</v>
      </c>
      <c r="K19" s="37"/>
      <c r="N19" s="65"/>
      <c r="O19" s="65"/>
      <c r="P19" s="65"/>
      <c r="Q19" s="65"/>
      <c r="R19" s="65"/>
      <c r="S19" s="65"/>
    </row>
    <row r="20" spans="1:19" ht="15" customHeight="1">
      <c r="A20" s="56"/>
      <c r="B20" s="64"/>
      <c r="C20" s="50"/>
      <c r="D20" s="67" t="s">
        <v>62</v>
      </c>
      <c r="E20" s="56"/>
      <c r="F20" s="58"/>
      <c r="G20" s="56"/>
      <c r="H20" s="56"/>
      <c r="J20" s="37"/>
      <c r="K20" s="37"/>
      <c r="N20" s="65"/>
      <c r="O20" s="65"/>
      <c r="P20" s="65"/>
      <c r="Q20" s="65"/>
      <c r="R20" s="65"/>
      <c r="S20" s="65"/>
    </row>
    <row r="21" spans="1:19" ht="15" customHeight="1">
      <c r="A21" s="56"/>
      <c r="B21" s="39" t="s">
        <v>78</v>
      </c>
      <c r="C21" s="56"/>
      <c r="D21" s="43">
        <v>100</v>
      </c>
      <c r="E21" s="56"/>
      <c r="F21" s="68">
        <f>J21*K21</f>
        <v>36</v>
      </c>
      <c r="G21" s="56"/>
      <c r="H21" s="56"/>
      <c r="J21" s="41">
        <f>D21/5</f>
        <v>20</v>
      </c>
      <c r="K21" s="59">
        <f>VLOOKUP(J11,'KT-Beiträge M'!A:B,2,FALSE)</f>
        <v>1.8</v>
      </c>
      <c r="L21" s="37">
        <f>IF(INT(J21)=J21,0,1)</f>
        <v>0</v>
      </c>
      <c r="N21" s="65"/>
      <c r="O21" s="65"/>
      <c r="P21" s="65"/>
      <c r="Q21" s="65"/>
      <c r="R21" s="65"/>
      <c r="S21" s="65"/>
    </row>
    <row r="22" spans="1:19" ht="15" customHeight="1">
      <c r="A22" s="56"/>
      <c r="B22" s="39" t="s">
        <v>79</v>
      </c>
      <c r="C22" s="56"/>
      <c r="D22" s="43">
        <v>100</v>
      </c>
      <c r="E22" s="56"/>
      <c r="F22" s="68">
        <f>J22*K22</f>
        <v>27</v>
      </c>
      <c r="G22" s="56"/>
      <c r="H22" s="56"/>
      <c r="J22" s="41">
        <f>D22/5</f>
        <v>20</v>
      </c>
      <c r="K22" s="59">
        <f>VLOOKUP(J11,'KT-Beiträge M'!A:C,3,FALSE)</f>
        <v>1.35</v>
      </c>
      <c r="L22" s="37">
        <f>IF(INT(J22)=J22,0,1)</f>
        <v>0</v>
      </c>
      <c r="N22" s="65"/>
      <c r="O22" s="65"/>
      <c r="P22" s="65"/>
      <c r="Q22" s="65"/>
      <c r="R22" s="65"/>
      <c r="S22" s="65"/>
    </row>
    <row r="23" spans="1:19" ht="15" customHeight="1">
      <c r="A23" s="56"/>
      <c r="B23" s="69" t="s">
        <v>30</v>
      </c>
      <c r="C23" s="56"/>
      <c r="D23" s="43">
        <v>0</v>
      </c>
      <c r="E23" s="56"/>
      <c r="F23" s="68">
        <f>J23*K23</f>
        <v>0</v>
      </c>
      <c r="G23" s="56"/>
      <c r="H23" s="56"/>
      <c r="J23" s="41">
        <f>D23/5</f>
        <v>0</v>
      </c>
      <c r="K23" s="59">
        <f>VLOOKUP(J11,'KT-Beiträge M'!A:J,'fM HAL'!J19,FALSE)</f>
        <v>1.21</v>
      </c>
      <c r="L23" s="37">
        <f>IF(INT(J23)=J23,0,1)</f>
        <v>0</v>
      </c>
      <c r="N23" s="65"/>
      <c r="O23" s="65"/>
      <c r="P23" s="65"/>
      <c r="Q23" s="70"/>
      <c r="R23" s="65"/>
      <c r="S23" s="70"/>
    </row>
    <row r="24" spans="1:19" ht="15" customHeight="1">
      <c r="A24" s="56"/>
      <c r="B24" s="122" t="str">
        <f>IF(L24&gt;0,"KT-Höhe bitte in 5 €-Schritten wählen!","")</f>
        <v/>
      </c>
      <c r="C24" s="123"/>
      <c r="D24" s="123"/>
      <c r="E24" s="123"/>
      <c r="F24" s="123"/>
      <c r="G24" s="56"/>
      <c r="H24" s="56"/>
      <c r="J24" s="37"/>
      <c r="K24" s="37"/>
      <c r="L24" s="37">
        <f>L21+L22+L23</f>
        <v>0</v>
      </c>
      <c r="N24" s="65"/>
      <c r="O24" s="65"/>
      <c r="P24" s="65"/>
      <c r="Q24" s="65"/>
      <c r="R24" s="65"/>
      <c r="S24" s="65"/>
    </row>
    <row r="25" spans="1:19" ht="15" customHeight="1">
      <c r="A25" s="56"/>
      <c r="B25" s="39" t="s">
        <v>61</v>
      </c>
      <c r="C25" s="56"/>
      <c r="D25" s="46">
        <f>D21+D22+D23</f>
        <v>200</v>
      </c>
      <c r="E25" s="56"/>
      <c r="F25" s="71">
        <f>F21+F22+F23</f>
        <v>63</v>
      </c>
      <c r="G25" s="56"/>
      <c r="H25" s="56"/>
      <c r="J25" s="37"/>
      <c r="K25" s="37"/>
      <c r="N25" s="65"/>
      <c r="O25" s="65"/>
      <c r="P25" s="65"/>
      <c r="Q25" s="65"/>
      <c r="R25" s="65"/>
      <c r="S25" s="65"/>
    </row>
    <row r="26" spans="1:19" ht="15" customHeight="1">
      <c r="A26" s="56"/>
      <c r="B26" s="56"/>
      <c r="C26" s="56"/>
      <c r="D26" s="56"/>
      <c r="E26" s="56"/>
      <c r="F26" s="56"/>
      <c r="G26" s="56"/>
      <c r="H26" s="56"/>
      <c r="J26" s="37"/>
      <c r="K26" s="37"/>
      <c r="N26" s="65"/>
      <c r="O26" s="65"/>
      <c r="P26" s="65"/>
      <c r="Q26" s="65"/>
      <c r="R26" s="65"/>
      <c r="S26" s="65"/>
    </row>
    <row r="27" spans="1:19" ht="15" customHeight="1">
      <c r="A27" s="56"/>
      <c r="B27" s="120" t="str">
        <f>IF(D25&gt;500,"Versicherbares Höchsttagegeld überschritten, bitte auf insgesamt 500 € reduzieren.",IF(D25&gt;D17,(CONCATENATE("Versicherbares Tagegeld (Nettoeinkommen) überschritten, bitte auf insgesamt ",D17," € reduzieren.")),IF(D17&gt;D25,(CONCATENATE("ACHTUNG Absicherungslücke in Höhe von ",D17-D25," €!")),"")))</f>
        <v/>
      </c>
      <c r="C27" s="134"/>
      <c r="D27" s="134"/>
      <c r="E27" s="134"/>
      <c r="F27" s="134"/>
      <c r="G27" s="134"/>
      <c r="H27" s="56"/>
      <c r="J27" s="37"/>
      <c r="K27" s="37"/>
      <c r="N27" s="65"/>
      <c r="O27" s="65"/>
      <c r="P27" s="65"/>
      <c r="Q27" s="65"/>
      <c r="R27" s="65"/>
      <c r="S27" s="65"/>
    </row>
    <row r="28" spans="1:11" ht="15" customHeight="1">
      <c r="A28" s="56"/>
      <c r="B28" s="134"/>
      <c r="C28" s="134"/>
      <c r="D28" s="134"/>
      <c r="E28" s="134"/>
      <c r="F28" s="134"/>
      <c r="G28" s="134"/>
      <c r="H28" s="56"/>
      <c r="J28" s="37"/>
      <c r="K28" s="37"/>
    </row>
    <row r="29" spans="1:11" ht="15" customHeight="1">
      <c r="A29" s="56"/>
      <c r="B29" s="50"/>
      <c r="C29" s="50"/>
      <c r="D29" s="50"/>
      <c r="E29" s="50"/>
      <c r="F29" s="50"/>
      <c r="G29" s="50"/>
      <c r="H29" s="56"/>
      <c r="J29" s="37"/>
      <c r="K29" s="37"/>
    </row>
    <row r="30" spans="1:11" ht="15" customHeight="1">
      <c r="A30" s="56"/>
      <c r="B30" s="50"/>
      <c r="C30" s="50"/>
      <c r="D30" s="50"/>
      <c r="E30" s="50"/>
      <c r="F30" s="50"/>
      <c r="G30" s="50"/>
      <c r="H30" s="56"/>
      <c r="J30" s="89"/>
      <c r="K30" s="89"/>
    </row>
    <row r="31" spans="1:11" ht="15" customHeight="1">
      <c r="A31" s="56"/>
      <c r="B31" s="50"/>
      <c r="C31" s="50"/>
      <c r="D31" s="50"/>
      <c r="E31" s="50"/>
      <c r="F31" s="50"/>
      <c r="G31" s="50"/>
      <c r="H31" s="56"/>
      <c r="J31" s="89"/>
      <c r="K31" s="89"/>
    </row>
    <row r="32" spans="1:8" ht="14.25">
      <c r="A32" s="38"/>
      <c r="B32" s="38" t="s">
        <v>101</v>
      </c>
      <c r="C32" s="50"/>
      <c r="D32" s="50"/>
      <c r="E32" s="50"/>
      <c r="F32" s="50"/>
      <c r="G32" s="50"/>
      <c r="H32" s="38"/>
    </row>
    <row r="33" spans="1:8" ht="14.25">
      <c r="A33" s="38"/>
      <c r="B33" s="50"/>
      <c r="C33" s="50"/>
      <c r="D33" s="50"/>
      <c r="E33" s="50"/>
      <c r="F33" s="50"/>
      <c r="G33" s="50"/>
      <c r="H33" s="38"/>
    </row>
  </sheetData>
  <mergeCells count="7">
    <mergeCell ref="B24:F24"/>
    <mergeCell ref="B27:G28"/>
    <mergeCell ref="B4:F4"/>
    <mergeCell ref="B15:E15"/>
    <mergeCell ref="B17:C17"/>
    <mergeCell ref="B19:C19"/>
    <mergeCell ref="E17:H18"/>
  </mergeCells>
  <dataValidations count="4">
    <dataValidation type="whole" allowBlank="1" showInputMessage="1" showErrorMessage="1" sqref="D21:D23">
      <formula1>0</formula1>
      <formula2>500</formula2>
    </dataValidation>
    <dataValidation type="list" allowBlank="1" showInputMessage="1" showErrorMessage="1" sqref="G11">
      <formula1>Steuerung!$J$3:$J$52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B23">
      <formula1>Steuerung!$D$26:$D$32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L64"/>
  <sheetViews>
    <sheetView workbookViewId="0" topLeftCell="A1">
      <selection activeCell="F3" sqref="F3"/>
    </sheetView>
  </sheetViews>
  <sheetFormatPr defaultColWidth="11.421875" defaultRowHeight="12.75"/>
  <cols>
    <col min="1" max="1" width="39.421875" style="0" bestFit="1" customWidth="1"/>
    <col min="5" max="5" width="27.57421875" style="0" bestFit="1" customWidth="1"/>
  </cols>
  <sheetData>
    <row r="1" spans="1:10" s="1" customFormat="1" ht="12.75">
      <c r="A1" s="2" t="s">
        <v>0</v>
      </c>
      <c r="E1" s="30" t="s">
        <v>119</v>
      </c>
      <c r="F1" s="31">
        <v>62550</v>
      </c>
      <c r="I1" s="106" t="s">
        <v>99</v>
      </c>
      <c r="J1" s="106"/>
    </row>
    <row r="2" spans="1:10" ht="12.75">
      <c r="A2" s="29" t="s">
        <v>1</v>
      </c>
      <c r="B2" s="1">
        <v>1</v>
      </c>
      <c r="E2" s="30" t="s">
        <v>120</v>
      </c>
      <c r="F2" s="32">
        <f>0.7*F8</f>
        <v>3281.25</v>
      </c>
      <c r="I2" s="3" t="s">
        <v>58</v>
      </c>
      <c r="J2" s="3" t="s">
        <v>35</v>
      </c>
    </row>
    <row r="3" spans="1:10" ht="12.75">
      <c r="A3" s="4" t="s">
        <v>3</v>
      </c>
      <c r="B3" s="1">
        <v>0</v>
      </c>
      <c r="E3" s="30" t="s">
        <v>46</v>
      </c>
      <c r="F3" s="33">
        <v>0.093</v>
      </c>
      <c r="I3" s="3">
        <v>64</v>
      </c>
      <c r="J3" s="3">
        <f aca="true" t="shared" si="0" ref="J3:J51">2020-I3</f>
        <v>1956</v>
      </c>
    </row>
    <row r="4" spans="1:10" ht="12.75">
      <c r="A4" s="29" t="s">
        <v>2</v>
      </c>
      <c r="B4" s="1">
        <v>2</v>
      </c>
      <c r="E4" s="30" t="s">
        <v>47</v>
      </c>
      <c r="F4" s="33">
        <v>0.012</v>
      </c>
      <c r="I4" s="3">
        <v>63</v>
      </c>
      <c r="J4" s="3">
        <f t="shared" si="0"/>
        <v>1957</v>
      </c>
    </row>
    <row r="5" spans="1:10" ht="12.75">
      <c r="A5" s="29" t="s">
        <v>4</v>
      </c>
      <c r="B5" s="1">
        <v>3</v>
      </c>
      <c r="E5" s="30" t="s">
        <v>48</v>
      </c>
      <c r="F5" s="34">
        <f>0.01525+0.0025</f>
        <v>0.01775</v>
      </c>
      <c r="I5" s="3">
        <v>62</v>
      </c>
      <c r="J5" s="3">
        <f t="shared" si="0"/>
        <v>1958</v>
      </c>
    </row>
    <row r="6" spans="1:10" ht="12.75">
      <c r="A6" s="29" t="s">
        <v>5</v>
      </c>
      <c r="B6" s="1">
        <v>4</v>
      </c>
      <c r="E6" s="30" t="s">
        <v>49</v>
      </c>
      <c r="F6" s="34">
        <f>F3+F4+F5</f>
        <v>0.12275</v>
      </c>
      <c r="I6" s="3">
        <v>61</v>
      </c>
      <c r="J6" s="3">
        <f t="shared" si="0"/>
        <v>1959</v>
      </c>
    </row>
    <row r="7" spans="1:10" ht="12.75">
      <c r="A7" s="29" t="s">
        <v>6</v>
      </c>
      <c r="B7" s="1">
        <v>5</v>
      </c>
      <c r="E7" s="30" t="s">
        <v>113</v>
      </c>
      <c r="F7" s="31">
        <v>56250</v>
      </c>
      <c r="I7" s="3">
        <v>60</v>
      </c>
      <c r="J7" s="3">
        <f t="shared" si="0"/>
        <v>1960</v>
      </c>
    </row>
    <row r="8" spans="1:10" ht="12.75">
      <c r="A8" s="29" t="s">
        <v>7</v>
      </c>
      <c r="B8" s="1">
        <v>6</v>
      </c>
      <c r="E8" s="30" t="s">
        <v>112</v>
      </c>
      <c r="F8" s="31">
        <v>4687.5</v>
      </c>
      <c r="I8" s="3">
        <v>59</v>
      </c>
      <c r="J8" s="3">
        <f t="shared" si="0"/>
        <v>1961</v>
      </c>
    </row>
    <row r="9" spans="1:10" ht="12.75">
      <c r="A9" s="29" t="s">
        <v>8</v>
      </c>
      <c r="B9" s="1">
        <v>7</v>
      </c>
      <c r="E9" s="30" t="s">
        <v>58</v>
      </c>
      <c r="F9" s="102" t="s">
        <v>122</v>
      </c>
      <c r="I9" s="3">
        <v>58</v>
      </c>
      <c r="J9" s="3">
        <f t="shared" si="0"/>
        <v>1962</v>
      </c>
    </row>
    <row r="10" spans="1:10" ht="12.75">
      <c r="A10" s="29" t="s">
        <v>9</v>
      </c>
      <c r="B10" s="1">
        <v>8</v>
      </c>
      <c r="E10" s="107" t="s">
        <v>100</v>
      </c>
      <c r="F10" s="107"/>
      <c r="I10" s="3">
        <v>57</v>
      </c>
      <c r="J10" s="3">
        <f t="shared" si="0"/>
        <v>1963</v>
      </c>
    </row>
    <row r="11" spans="1:10" ht="12.75">
      <c r="A11" s="4" t="s">
        <v>10</v>
      </c>
      <c r="B11" s="1">
        <v>9</v>
      </c>
      <c r="E11" s="107"/>
      <c r="F11" s="107"/>
      <c r="I11" s="3">
        <v>56</v>
      </c>
      <c r="J11" s="3">
        <f t="shared" si="0"/>
        <v>1964</v>
      </c>
    </row>
    <row r="12" spans="1:10" ht="12.75">
      <c r="A12" s="1"/>
      <c r="B12" s="1"/>
      <c r="E12" s="108"/>
      <c r="F12" s="108"/>
      <c r="I12" s="3">
        <v>55</v>
      </c>
      <c r="J12" s="3">
        <f t="shared" si="0"/>
        <v>1965</v>
      </c>
    </row>
    <row r="13" spans="1:10" ht="12.75">
      <c r="A13" s="1"/>
      <c r="B13" s="1"/>
      <c r="E13" s="108"/>
      <c r="F13" s="108"/>
      <c r="I13" s="3">
        <v>54</v>
      </c>
      <c r="J13" s="3">
        <f t="shared" si="0"/>
        <v>1966</v>
      </c>
    </row>
    <row r="14" spans="2:10" ht="12.75">
      <c r="B14" s="1"/>
      <c r="E14" s="108"/>
      <c r="F14" s="108"/>
      <c r="I14" s="3">
        <v>53</v>
      </c>
      <c r="J14" s="3">
        <f t="shared" si="0"/>
        <v>1967</v>
      </c>
    </row>
    <row r="15" spans="1:10" ht="12.75">
      <c r="A15" s="5" t="s">
        <v>15</v>
      </c>
      <c r="E15" s="108"/>
      <c r="F15" s="108"/>
      <c r="I15" s="3">
        <v>52</v>
      </c>
      <c r="J15" s="3">
        <f t="shared" si="0"/>
        <v>1968</v>
      </c>
    </row>
    <row r="16" spans="1:10" ht="12.75">
      <c r="A16" s="5" t="str">
        <f>VLOOKUP('Beruf und KV'!J12,Steuerung!A56:B64,2,FALSE)</f>
        <v>Arbeitnehmer</v>
      </c>
      <c r="B16" s="3" t="str">
        <f>IF(A16="Arbeitnehmer","AN",IF(A16="Auszubildender","AN",IF(A16="Selbstständiger","S",IF(A16="Selbstständiger im 1. bis 3. Jahr","S13",IF(A16="Freiberufler","F",IF(A16="Freiberufler im 1. bis 3. Jahr","F13",IF(A16="angestellter Arzt/Zahnarzt","aA",IF(A16="Praxisinhaber","P",IF(A16="Praxisgründer im 1.-3. Jahr der Niederlassung","P13",IF(A16="freier Mitarbeiter (Arzt/Zahnarzt)","fM",IF(A16="vorübergehender Praxisvertreter","vP",IF(A16="ständiger Praxisvertreter","sP","nix"))))))))))))</f>
        <v>AN</v>
      </c>
      <c r="E16" s="108"/>
      <c r="F16" s="108"/>
      <c r="I16" s="3">
        <v>51</v>
      </c>
      <c r="J16" s="3">
        <f t="shared" si="0"/>
        <v>1969</v>
      </c>
    </row>
    <row r="17" spans="1:10" ht="12.75">
      <c r="A17" s="7"/>
      <c r="E17" s="108"/>
      <c r="F17" s="108"/>
      <c r="I17" s="3">
        <v>50</v>
      </c>
      <c r="J17" s="3">
        <f t="shared" si="0"/>
        <v>1970</v>
      </c>
    </row>
    <row r="18" spans="1:10" ht="12.75">
      <c r="A18" s="6" t="s">
        <v>16</v>
      </c>
      <c r="E18" s="108"/>
      <c r="F18" s="108"/>
      <c r="I18" s="3">
        <v>49</v>
      </c>
      <c r="J18" s="3">
        <f t="shared" si="0"/>
        <v>1971</v>
      </c>
    </row>
    <row r="19" spans="1:10" ht="12.75">
      <c r="A19" s="6">
        <v>1</v>
      </c>
      <c r="I19" s="3">
        <v>48</v>
      </c>
      <c r="J19" s="3">
        <f t="shared" si="0"/>
        <v>1972</v>
      </c>
    </row>
    <row r="20" spans="1:10" ht="12.75">
      <c r="A20" s="5" t="str">
        <f>IF(A19=1,"HALLESCHE",IF(A19=2,"GKV",IF(A19=3,"andere PKV","kaputt")))</f>
        <v>HALLESCHE</v>
      </c>
      <c r="B20" s="3" t="str">
        <f>IF(A20="HALLESCHE","HAL",IF(A20="GKV","GKV","nix"))</f>
        <v>HAL</v>
      </c>
      <c r="I20" s="3">
        <v>47</v>
      </c>
      <c r="J20" s="3">
        <f t="shared" si="0"/>
        <v>1973</v>
      </c>
    </row>
    <row r="21" spans="1:10" ht="12.75">
      <c r="A21" s="7"/>
      <c r="I21" s="3">
        <v>46</v>
      </c>
      <c r="J21" s="3">
        <f t="shared" si="0"/>
        <v>1974</v>
      </c>
    </row>
    <row r="22" spans="1:10" ht="12.75">
      <c r="A22" s="5" t="s">
        <v>17</v>
      </c>
      <c r="I22" s="3">
        <v>45</v>
      </c>
      <c r="J22" s="3">
        <f t="shared" si="0"/>
        <v>1975</v>
      </c>
    </row>
    <row r="23" spans="1:10" ht="12.75">
      <c r="A23" s="5" t="str">
        <f>CONCATENATE(B16," ",B20)</f>
        <v>AN HAL</v>
      </c>
      <c r="I23" s="3">
        <v>44</v>
      </c>
      <c r="J23" s="3">
        <f t="shared" si="0"/>
        <v>1976</v>
      </c>
    </row>
    <row r="24" spans="1:10" ht="12.75">
      <c r="A24" s="7"/>
      <c r="F24" s="1"/>
      <c r="I24" s="3">
        <v>43</v>
      </c>
      <c r="J24" s="3">
        <f t="shared" si="0"/>
        <v>1977</v>
      </c>
    </row>
    <row r="25" spans="6:10" ht="12.75">
      <c r="F25" s="1"/>
      <c r="I25" s="3">
        <v>42</v>
      </c>
      <c r="J25" s="3">
        <f t="shared" si="0"/>
        <v>1978</v>
      </c>
    </row>
    <row r="26" spans="1:12" ht="12.75">
      <c r="A26" s="2" t="s">
        <v>27</v>
      </c>
      <c r="D26" s="3" t="s">
        <v>80</v>
      </c>
      <c r="E26" s="3">
        <v>4</v>
      </c>
      <c r="F26" s="1"/>
      <c r="I26" s="3">
        <v>41</v>
      </c>
      <c r="J26" s="3">
        <f t="shared" si="0"/>
        <v>1979</v>
      </c>
      <c r="K26" s="1"/>
      <c r="L26" s="12"/>
    </row>
    <row r="27" spans="1:10" ht="12.75">
      <c r="A27" s="8" t="s">
        <v>124</v>
      </c>
      <c r="B27" s="3" t="s">
        <v>29</v>
      </c>
      <c r="C27" s="3">
        <v>2</v>
      </c>
      <c r="D27" s="3" t="s">
        <v>81</v>
      </c>
      <c r="E27" s="3">
        <v>5</v>
      </c>
      <c r="F27" s="3" t="s">
        <v>53</v>
      </c>
      <c r="G27" s="3">
        <v>2</v>
      </c>
      <c r="I27" s="3">
        <v>40</v>
      </c>
      <c r="J27" s="3">
        <f t="shared" si="0"/>
        <v>1980</v>
      </c>
    </row>
    <row r="28" spans="1:10" ht="12.75">
      <c r="A28" s="8" t="s">
        <v>91</v>
      </c>
      <c r="B28" s="3" t="s">
        <v>30</v>
      </c>
      <c r="C28" s="3">
        <v>3</v>
      </c>
      <c r="D28" s="3" t="s">
        <v>30</v>
      </c>
      <c r="E28" s="3">
        <v>6</v>
      </c>
      <c r="F28" s="3" t="s">
        <v>30</v>
      </c>
      <c r="G28" s="3">
        <v>3</v>
      </c>
      <c r="I28" s="3">
        <v>39</v>
      </c>
      <c r="J28" s="3">
        <f t="shared" si="0"/>
        <v>1981</v>
      </c>
    </row>
    <row r="29" spans="1:10" ht="12.75">
      <c r="A29" s="8" t="s">
        <v>92</v>
      </c>
      <c r="B29" s="3" t="s">
        <v>31</v>
      </c>
      <c r="C29" s="3">
        <v>4</v>
      </c>
      <c r="D29" s="3" t="s">
        <v>31</v>
      </c>
      <c r="E29" s="3">
        <v>7</v>
      </c>
      <c r="F29" s="3" t="s">
        <v>31</v>
      </c>
      <c r="G29" s="3">
        <v>4</v>
      </c>
      <c r="I29" s="3">
        <v>38</v>
      </c>
      <c r="J29" s="3">
        <f t="shared" si="0"/>
        <v>1982</v>
      </c>
    </row>
    <row r="30" spans="1:10" ht="12.75">
      <c r="A30" s="8" t="s">
        <v>93</v>
      </c>
      <c r="B30" s="3" t="s">
        <v>32</v>
      </c>
      <c r="C30" s="3">
        <v>5</v>
      </c>
      <c r="D30" s="3" t="s">
        <v>32</v>
      </c>
      <c r="E30" s="3">
        <v>8</v>
      </c>
      <c r="F30" s="3" t="s">
        <v>32</v>
      </c>
      <c r="G30" s="3">
        <v>5</v>
      </c>
      <c r="I30" s="3">
        <v>37</v>
      </c>
      <c r="J30" s="3">
        <f t="shared" si="0"/>
        <v>1983</v>
      </c>
    </row>
    <row r="31" spans="1:10" ht="12.75">
      <c r="A31" s="8" t="s">
        <v>94</v>
      </c>
      <c r="B31" s="3" t="s">
        <v>33</v>
      </c>
      <c r="C31" s="3">
        <v>6</v>
      </c>
      <c r="D31" s="3" t="s">
        <v>33</v>
      </c>
      <c r="E31" s="3">
        <v>9</v>
      </c>
      <c r="F31" s="3" t="s">
        <v>33</v>
      </c>
      <c r="G31" s="3">
        <v>6</v>
      </c>
      <c r="I31" s="3">
        <v>36</v>
      </c>
      <c r="J31" s="3">
        <f t="shared" si="0"/>
        <v>1984</v>
      </c>
    </row>
    <row r="32" spans="1:10" ht="12.75">
      <c r="A32" s="8" t="s">
        <v>95</v>
      </c>
      <c r="B32" s="3" t="s">
        <v>34</v>
      </c>
      <c r="C32" s="3">
        <v>7</v>
      </c>
      <c r="D32" s="3" t="s">
        <v>34</v>
      </c>
      <c r="E32" s="3">
        <v>10</v>
      </c>
      <c r="F32" s="3" t="s">
        <v>34</v>
      </c>
      <c r="G32" s="3">
        <v>7</v>
      </c>
      <c r="I32" s="3">
        <v>35</v>
      </c>
      <c r="J32" s="3">
        <f t="shared" si="0"/>
        <v>1985</v>
      </c>
    </row>
    <row r="33" spans="6:10" ht="12.75">
      <c r="F33" s="1"/>
      <c r="I33" s="3">
        <v>34</v>
      </c>
      <c r="J33" s="3">
        <f t="shared" si="0"/>
        <v>1986</v>
      </c>
    </row>
    <row r="34" spans="1:10" ht="12.75">
      <c r="A34" s="2" t="s">
        <v>36</v>
      </c>
      <c r="F34" s="1"/>
      <c r="I34" s="3">
        <v>33</v>
      </c>
      <c r="J34" s="3">
        <f t="shared" si="0"/>
        <v>1987</v>
      </c>
    </row>
    <row r="35" spans="1:10" ht="12.75">
      <c r="A35" s="19">
        <v>43831</v>
      </c>
      <c r="F35" s="1"/>
      <c r="I35" s="3">
        <v>32</v>
      </c>
      <c r="J35" s="3">
        <f t="shared" si="0"/>
        <v>1988</v>
      </c>
    </row>
    <row r="36" spans="1:10" ht="12.75">
      <c r="A36" s="19">
        <v>43862</v>
      </c>
      <c r="F36" s="1"/>
      <c r="I36" s="3">
        <v>31</v>
      </c>
      <c r="J36" s="3">
        <f t="shared" si="0"/>
        <v>1989</v>
      </c>
    </row>
    <row r="37" spans="1:10" ht="12.75">
      <c r="A37" s="19">
        <v>43891</v>
      </c>
      <c r="F37" s="1"/>
      <c r="I37" s="3">
        <v>30</v>
      </c>
      <c r="J37" s="3">
        <f t="shared" si="0"/>
        <v>1990</v>
      </c>
    </row>
    <row r="38" spans="1:10" ht="12.75">
      <c r="A38" s="19">
        <v>43922</v>
      </c>
      <c r="F38" s="1"/>
      <c r="I38" s="3">
        <v>29</v>
      </c>
      <c r="J38" s="3">
        <f t="shared" si="0"/>
        <v>1991</v>
      </c>
    </row>
    <row r="39" spans="1:10" ht="12.75">
      <c r="A39" s="19">
        <v>43952</v>
      </c>
      <c r="F39" s="1"/>
      <c r="I39" s="3">
        <v>28</v>
      </c>
      <c r="J39" s="3">
        <f t="shared" si="0"/>
        <v>1992</v>
      </c>
    </row>
    <row r="40" spans="1:10" ht="12.75">
      <c r="A40" s="19">
        <v>43983</v>
      </c>
      <c r="F40" s="1"/>
      <c r="I40" s="3">
        <v>27</v>
      </c>
      <c r="J40" s="3">
        <f t="shared" si="0"/>
        <v>1993</v>
      </c>
    </row>
    <row r="41" spans="1:10" ht="12.75">
      <c r="A41" s="19">
        <v>44013</v>
      </c>
      <c r="F41" s="1"/>
      <c r="I41" s="3">
        <v>26</v>
      </c>
      <c r="J41" s="3">
        <f t="shared" si="0"/>
        <v>1994</v>
      </c>
    </row>
    <row r="42" spans="1:10" ht="12.75">
      <c r="A42" s="19">
        <v>44044</v>
      </c>
      <c r="F42" s="1"/>
      <c r="I42" s="3">
        <v>25</v>
      </c>
      <c r="J42" s="3">
        <f t="shared" si="0"/>
        <v>1995</v>
      </c>
    </row>
    <row r="43" spans="1:10" ht="12.75">
      <c r="A43" s="19">
        <v>44075</v>
      </c>
      <c r="I43" s="3">
        <v>24</v>
      </c>
      <c r="J43" s="3">
        <f t="shared" si="0"/>
        <v>1996</v>
      </c>
    </row>
    <row r="44" spans="1:10" ht="12.75">
      <c r="A44" s="19">
        <v>44105</v>
      </c>
      <c r="I44" s="3">
        <v>23</v>
      </c>
      <c r="J44" s="3">
        <f t="shared" si="0"/>
        <v>1997</v>
      </c>
    </row>
    <row r="45" spans="1:10" ht="12.75">
      <c r="A45" s="19">
        <v>44136</v>
      </c>
      <c r="I45" s="3">
        <v>22</v>
      </c>
      <c r="J45" s="3">
        <f t="shared" si="0"/>
        <v>1998</v>
      </c>
    </row>
    <row r="46" spans="1:10" ht="12.75">
      <c r="A46" s="19">
        <v>44166</v>
      </c>
      <c r="I46" s="3">
        <v>21</v>
      </c>
      <c r="J46" s="3">
        <f t="shared" si="0"/>
        <v>1999</v>
      </c>
    </row>
    <row r="47" spans="1:10" ht="12.75">
      <c r="A47" s="1"/>
      <c r="I47" s="3">
        <v>20</v>
      </c>
      <c r="J47" s="3">
        <f t="shared" si="0"/>
        <v>2000</v>
      </c>
    </row>
    <row r="48" spans="1:10" ht="12.75">
      <c r="A48" s="1"/>
      <c r="I48" s="3">
        <v>19</v>
      </c>
      <c r="J48" s="3">
        <f t="shared" si="0"/>
        <v>2001</v>
      </c>
    </row>
    <row r="49" spans="1:10" ht="12.75">
      <c r="A49" s="1"/>
      <c r="I49" s="3">
        <v>18</v>
      </c>
      <c r="J49" s="3">
        <f t="shared" si="0"/>
        <v>2002</v>
      </c>
    </row>
    <row r="50" spans="1:10" ht="12.75">
      <c r="A50" s="1"/>
      <c r="I50" s="3">
        <v>17</v>
      </c>
      <c r="J50" s="3">
        <f t="shared" si="0"/>
        <v>2003</v>
      </c>
    </row>
    <row r="51" spans="1:10" ht="12.75">
      <c r="A51" s="1"/>
      <c r="I51" s="3">
        <v>16</v>
      </c>
      <c r="J51" s="3">
        <f t="shared" si="0"/>
        <v>2004</v>
      </c>
    </row>
    <row r="52" spans="1:10" ht="12.75">
      <c r="A52" s="1"/>
      <c r="I52" s="3">
        <v>15</v>
      </c>
      <c r="J52" s="3">
        <f>2020-I52</f>
        <v>2005</v>
      </c>
    </row>
    <row r="56" spans="1:2" ht="12.75">
      <c r="A56">
        <v>1</v>
      </c>
      <c r="B56" s="4" t="s">
        <v>1</v>
      </c>
    </row>
    <row r="57" spans="1:2" ht="12.75">
      <c r="A57">
        <v>2</v>
      </c>
      <c r="B57" s="4" t="s">
        <v>2</v>
      </c>
    </row>
    <row r="58" spans="1:2" ht="12.75">
      <c r="A58">
        <v>3</v>
      </c>
      <c r="B58" s="4" t="s">
        <v>4</v>
      </c>
    </row>
    <row r="59" spans="1:2" ht="12.75">
      <c r="A59">
        <v>4</v>
      </c>
      <c r="B59" s="4" t="s">
        <v>5</v>
      </c>
    </row>
    <row r="60" spans="1:2" ht="12.75">
      <c r="A60">
        <v>5</v>
      </c>
      <c r="B60" s="4" t="s">
        <v>6</v>
      </c>
    </row>
    <row r="61" spans="1:2" ht="12.75">
      <c r="A61">
        <v>6</v>
      </c>
      <c r="B61" s="4" t="s">
        <v>7</v>
      </c>
    </row>
    <row r="62" spans="1:2" ht="12.75">
      <c r="A62">
        <v>7</v>
      </c>
      <c r="B62" s="4" t="s">
        <v>8</v>
      </c>
    </row>
    <row r="63" spans="1:2" ht="12.75">
      <c r="A63">
        <v>8</v>
      </c>
      <c r="B63" s="4" t="s">
        <v>9</v>
      </c>
    </row>
    <row r="64" spans="1:2" ht="12.75">
      <c r="A64">
        <v>9</v>
      </c>
      <c r="B64" s="4" t="s">
        <v>10</v>
      </c>
    </row>
  </sheetData>
  <mergeCells count="2">
    <mergeCell ref="I1:J1"/>
    <mergeCell ref="E10:F18"/>
  </mergeCells>
  <printOptions/>
  <pageMargins left="0.7" right="0.7" top="0.787401575" bottom="0.787401575" header="0.3" footer="0.3"/>
  <pageSetup orientation="portrait" paperSize="9"/>
  <ignoredErrors>
    <ignoredError sqref="F5:F6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3">
    <tabColor theme="0" tint="-0.1499900072813034"/>
    <pageSetUpPr fitToPage="1"/>
  </sheetPr>
  <dimension ref="A1:S40"/>
  <sheetViews>
    <sheetView workbookViewId="0" topLeftCell="A1">
      <selection activeCell="E24" sqref="E24:H25"/>
    </sheetView>
  </sheetViews>
  <sheetFormatPr defaultColWidth="0" defaultRowHeight="12.75" zeroHeight="1"/>
  <cols>
    <col min="1" max="1" width="15.140625" style="36" customWidth="1"/>
    <col min="2" max="2" width="9.140625" style="36" customWidth="1"/>
    <col min="3" max="3" width="11.8515625" style="36" customWidth="1"/>
    <col min="4" max="4" width="9.7109375" style="36" customWidth="1"/>
    <col min="5" max="5" width="9.00390625" style="36" customWidth="1"/>
    <col min="6" max="6" width="13.7109375" style="36" customWidth="1"/>
    <col min="7" max="7" width="11.57421875" style="36" customWidth="1"/>
    <col min="8" max="8" width="16.28125" style="36" customWidth="1"/>
    <col min="9" max="9" width="11.421875" style="36" hidden="1" customWidth="1"/>
    <col min="10" max="10" width="14.8515625" style="36" hidden="1" customWidth="1"/>
    <col min="11" max="11" width="11.421875" style="36" hidden="1" customWidth="1"/>
    <col min="12" max="12" width="19.7109375" style="36" hidden="1" customWidth="1"/>
    <col min="13" max="19" width="0" style="36" hidden="1" customWidth="1"/>
    <col min="20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92"/>
      <c r="D3" s="92"/>
      <c r="E3" s="92"/>
      <c r="F3" s="92"/>
      <c r="G3" s="35"/>
      <c r="H3" s="35"/>
      <c r="J3" s="37"/>
      <c r="K3" s="37"/>
    </row>
    <row r="4" spans="1:11" ht="15.75">
      <c r="A4" s="35"/>
      <c r="B4" s="139" t="s">
        <v>106</v>
      </c>
      <c r="C4" s="140"/>
      <c r="D4" s="140"/>
      <c r="E4" s="140"/>
      <c r="F4" s="140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ht="15" customHeight="1">
      <c r="A11" s="56"/>
      <c r="B11" s="39" t="s">
        <v>35</v>
      </c>
      <c r="C11" s="56"/>
      <c r="D11" s="56"/>
      <c r="E11" s="56"/>
      <c r="F11" s="56"/>
      <c r="G11" s="40">
        <v>1986</v>
      </c>
      <c r="H11" s="56"/>
      <c r="J11" s="41">
        <f>YEAR(G13)-G11</f>
        <v>31</v>
      </c>
      <c r="K11" s="37"/>
    </row>
    <row r="12" spans="1:1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ht="15" customHeight="1">
      <c r="A13" s="56"/>
      <c r="B13" s="39" t="s">
        <v>36</v>
      </c>
      <c r="C13" s="56"/>
      <c r="D13" s="56"/>
      <c r="E13" s="56"/>
      <c r="F13" s="56"/>
      <c r="G13" s="42">
        <v>42736</v>
      </c>
      <c r="H13" s="56"/>
      <c r="J13" s="37"/>
      <c r="K13" s="37"/>
    </row>
    <row r="14" spans="1:1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</row>
    <row r="15" spans="1:11" ht="15" customHeight="1">
      <c r="A15" s="56"/>
      <c r="B15" s="112" t="s">
        <v>75</v>
      </c>
      <c r="C15" s="105"/>
      <c r="D15" s="105"/>
      <c r="E15" s="105"/>
      <c r="F15" s="126"/>
      <c r="G15" s="43">
        <v>200000</v>
      </c>
      <c r="H15" s="56"/>
      <c r="J15" s="62" t="s">
        <v>40</v>
      </c>
      <c r="K15" s="62">
        <f>G15/12</f>
        <v>16666.666666666668</v>
      </c>
    </row>
    <row r="16" spans="1:11" ht="15" customHeight="1">
      <c r="A16" s="56"/>
      <c r="B16" s="56"/>
      <c r="C16" s="56"/>
      <c r="D16" s="56"/>
      <c r="E16" s="56"/>
      <c r="F16" s="56"/>
      <c r="G16" s="56"/>
      <c r="H16" s="56"/>
      <c r="J16" s="60" t="s">
        <v>45</v>
      </c>
      <c r="K16" s="62">
        <f>K15*0.7</f>
        <v>11666.666666666666</v>
      </c>
    </row>
    <row r="17" spans="1:11" ht="15" customHeight="1">
      <c r="A17" s="56"/>
      <c r="B17" s="112" t="s">
        <v>76</v>
      </c>
      <c r="C17" s="105"/>
      <c r="D17" s="105"/>
      <c r="E17" s="105"/>
      <c r="F17" s="126"/>
      <c r="G17" s="43">
        <v>120000</v>
      </c>
      <c r="H17" s="56"/>
      <c r="J17" s="37" t="s">
        <v>41</v>
      </c>
      <c r="K17" s="37">
        <f>IF(K16&lt;Steuerung!F2,K16,Steuerung!F2)</f>
        <v>3281.25</v>
      </c>
    </row>
    <row r="18" spans="1:11" ht="15" customHeight="1">
      <c r="A18" s="56"/>
      <c r="B18" s="56"/>
      <c r="C18" s="56"/>
      <c r="D18" s="56"/>
      <c r="E18" s="56"/>
      <c r="F18" s="56"/>
      <c r="G18" s="56"/>
      <c r="H18" s="56"/>
      <c r="J18" s="37" t="s">
        <v>69</v>
      </c>
      <c r="K18" s="62">
        <f>K17*Steuerung!F5*2</f>
        <v>116.48437499999999</v>
      </c>
    </row>
    <row r="19" spans="1:11" ht="15" customHeight="1">
      <c r="A19" s="56"/>
      <c r="B19" s="103" t="s">
        <v>66</v>
      </c>
      <c r="C19" s="104"/>
      <c r="D19" s="104"/>
      <c r="E19" s="104"/>
      <c r="F19" s="104"/>
      <c r="G19" s="104"/>
      <c r="H19" s="56"/>
      <c r="J19" s="37" t="s">
        <v>65</v>
      </c>
      <c r="K19" s="62">
        <f>G17/12</f>
        <v>10000</v>
      </c>
    </row>
    <row r="20" spans="1:11" ht="15" customHeight="1">
      <c r="A20" s="56"/>
      <c r="B20" s="114"/>
      <c r="C20" s="114"/>
      <c r="D20" s="114"/>
      <c r="E20" s="114"/>
      <c r="F20" s="114"/>
      <c r="G20" s="114"/>
      <c r="H20" s="56"/>
      <c r="J20" s="37" t="s">
        <v>44</v>
      </c>
      <c r="K20" s="62">
        <f>K19-K17+K18</f>
        <v>6835.234375</v>
      </c>
    </row>
    <row r="21" spans="1:11" ht="15" customHeight="1">
      <c r="A21" s="56"/>
      <c r="B21" s="56"/>
      <c r="C21" s="135" t="s">
        <v>67</v>
      </c>
      <c r="D21" s="56"/>
      <c r="E21" s="137" t="s">
        <v>68</v>
      </c>
      <c r="F21" s="105"/>
      <c r="G21" s="105"/>
      <c r="H21" s="56"/>
      <c r="J21" s="37" t="s">
        <v>43</v>
      </c>
      <c r="K21" s="62">
        <f>K20/30</f>
        <v>227.84114583333334</v>
      </c>
    </row>
    <row r="22" spans="1:11" ht="15" customHeight="1">
      <c r="A22" s="56"/>
      <c r="B22" s="56"/>
      <c r="C22" s="136"/>
      <c r="D22" s="56"/>
      <c r="E22" s="138"/>
      <c r="F22" s="105"/>
      <c r="G22" s="105"/>
      <c r="H22" s="56"/>
      <c r="J22" s="37"/>
      <c r="K22" s="37">
        <f>ROUNDUP((K21)*2,-1)/2</f>
        <v>230</v>
      </c>
    </row>
    <row r="23" spans="1:19" ht="15" customHeight="1">
      <c r="A23" s="56"/>
      <c r="B23" s="56"/>
      <c r="C23" s="56"/>
      <c r="D23" s="56"/>
      <c r="E23" s="56"/>
      <c r="F23" s="56"/>
      <c r="G23" s="56"/>
      <c r="H23" s="56"/>
      <c r="J23" s="37"/>
      <c r="K23" s="37"/>
      <c r="Q23" s="45"/>
      <c r="R23" s="45"/>
      <c r="S23" s="45"/>
    </row>
    <row r="24" spans="1:11" ht="15" customHeight="1">
      <c r="A24" s="56"/>
      <c r="B24" s="112" t="s">
        <v>60</v>
      </c>
      <c r="C24" s="112"/>
      <c r="D24" s="46">
        <f>IF(K24=1,K26,K27)</f>
        <v>335</v>
      </c>
      <c r="E24" s="120" t="str">
        <f>IF(D24&gt;500,"ACHTUNG: versicherbar sind nur 500 €!","")</f>
        <v/>
      </c>
      <c r="F24" s="120"/>
      <c r="G24" s="120"/>
      <c r="H24" s="105"/>
      <c r="J24" s="62"/>
      <c r="K24" s="79">
        <v>2</v>
      </c>
    </row>
    <row r="25" spans="1:11" ht="15" customHeight="1">
      <c r="A25" s="56"/>
      <c r="B25" s="56"/>
      <c r="C25" s="56"/>
      <c r="D25" s="56"/>
      <c r="E25" s="120"/>
      <c r="F25" s="120"/>
      <c r="G25" s="120"/>
      <c r="H25" s="105"/>
      <c r="J25" s="62"/>
      <c r="K25" s="62"/>
    </row>
    <row r="26" spans="1:11" ht="15" customHeight="1">
      <c r="A26" s="56"/>
      <c r="B26" s="112" t="s">
        <v>37</v>
      </c>
      <c r="C26" s="105"/>
      <c r="D26" s="49" t="s">
        <v>39</v>
      </c>
      <c r="E26" s="56"/>
      <c r="F26" s="66" t="s">
        <v>38</v>
      </c>
      <c r="G26" s="56"/>
      <c r="H26" s="56"/>
      <c r="J26" s="60" t="s">
        <v>70</v>
      </c>
      <c r="K26" s="62">
        <f>K22</f>
        <v>230</v>
      </c>
    </row>
    <row r="27" spans="1:11" ht="15" customHeight="1">
      <c r="A27" s="56"/>
      <c r="B27" s="64"/>
      <c r="C27" s="50"/>
      <c r="D27" s="67" t="s">
        <v>62</v>
      </c>
      <c r="E27" s="56"/>
      <c r="F27" s="58"/>
      <c r="G27" s="56"/>
      <c r="H27" s="56"/>
      <c r="J27" s="37" t="s">
        <v>71</v>
      </c>
      <c r="K27" s="62">
        <f>ROUNDUP((K19/30)*2,-1)/2</f>
        <v>335</v>
      </c>
    </row>
    <row r="28" spans="1:11" ht="15" customHeight="1">
      <c r="A28" s="56"/>
      <c r="B28" s="39" t="s">
        <v>78</v>
      </c>
      <c r="C28" s="56"/>
      <c r="D28" s="43">
        <v>100</v>
      </c>
      <c r="E28" s="56"/>
      <c r="F28" s="68">
        <f>J33*K33</f>
        <v>36.6</v>
      </c>
      <c r="G28" s="56"/>
      <c r="H28" s="56"/>
      <c r="J28" s="37"/>
      <c r="K28" s="62"/>
    </row>
    <row r="29" spans="1:11" ht="15" customHeight="1">
      <c r="A29" s="56"/>
      <c r="B29" s="39" t="s">
        <v>79</v>
      </c>
      <c r="C29" s="56"/>
      <c r="D29" s="43">
        <v>150</v>
      </c>
      <c r="E29" s="56"/>
      <c r="F29" s="68">
        <f>J34*K34</f>
        <v>41.699999999999996</v>
      </c>
      <c r="G29" s="56"/>
      <c r="H29" s="56"/>
      <c r="J29" s="37" t="s">
        <v>72</v>
      </c>
      <c r="K29" s="62">
        <f>D24</f>
        <v>335</v>
      </c>
    </row>
    <row r="30" spans="1:11" ht="15" customHeight="1">
      <c r="A30" s="56"/>
      <c r="B30" s="69" t="s">
        <v>80</v>
      </c>
      <c r="C30" s="56"/>
      <c r="D30" s="43">
        <v>85</v>
      </c>
      <c r="E30" s="56"/>
      <c r="F30" s="68">
        <f>J35*K35</f>
        <v>20.74</v>
      </c>
      <c r="G30" s="56"/>
      <c r="H30" s="56"/>
      <c r="J30" s="37"/>
      <c r="K30" s="88"/>
    </row>
    <row r="31" spans="1:11" ht="15" customHeight="1">
      <c r="A31" s="56"/>
      <c r="B31" s="122" t="str">
        <f>IF(L40&gt;0,"KT-Höhe bitte in 5 €-Schritten wählen!","")</f>
        <v/>
      </c>
      <c r="C31" s="123"/>
      <c r="D31" s="123"/>
      <c r="E31" s="123"/>
      <c r="F31" s="123"/>
      <c r="G31" s="56"/>
      <c r="H31" s="56"/>
      <c r="J31" s="41">
        <f>VLOOKUP(B30,Steuerung!D26:E32,2,FALSE)</f>
        <v>4</v>
      </c>
      <c r="K31" s="37"/>
    </row>
    <row r="32" spans="1:11" ht="15" customHeight="1">
      <c r="A32" s="56"/>
      <c r="B32" s="39" t="s">
        <v>61</v>
      </c>
      <c r="C32" s="56"/>
      <c r="D32" s="46">
        <f>D28+D29+D30</f>
        <v>335</v>
      </c>
      <c r="E32" s="56"/>
      <c r="F32" s="71">
        <f>F28+F29+F30</f>
        <v>99.03999999999999</v>
      </c>
      <c r="G32" s="56"/>
      <c r="H32" s="56"/>
      <c r="J32" s="37"/>
      <c r="K32" s="37"/>
    </row>
    <row r="33" spans="1:12" ht="15" customHeight="1">
      <c r="A33" s="56"/>
      <c r="B33" s="56"/>
      <c r="C33" s="56"/>
      <c r="D33" s="56"/>
      <c r="E33" s="56"/>
      <c r="F33" s="56"/>
      <c r="G33" s="56"/>
      <c r="H33" s="56"/>
      <c r="J33" s="52">
        <f>D28/5</f>
        <v>20</v>
      </c>
      <c r="K33" s="37">
        <f>VLOOKUP(J11,'KT-Beiträge M'!A:B,2,FALSE)</f>
        <v>1.83</v>
      </c>
      <c r="L33" s="37">
        <f>IF(INT(J33)=J33,0,1)</f>
        <v>0</v>
      </c>
    </row>
    <row r="34" spans="1:12" ht="15" customHeight="1">
      <c r="A34" s="56"/>
      <c r="B34" s="120" t="str">
        <f>IF(D32&gt;500,"Versicherbares Höchsttagegeld überschritten, bitte auf insgesamt 500 € reduzieren.",IF(D32&gt;D24,(CONCATENATE("Versicherbares Tagegeld (Nettoeinkommen) überschritten, bitte auf insgesamt ",D24," € reduzieren.")),IF(D24&gt;D32,(CONCATENATE("ACHTUNG Absicherungslücke in Höhe von ",D24-D32," €!")),"")))</f>
        <v/>
      </c>
      <c r="C34" s="134"/>
      <c r="D34" s="134"/>
      <c r="E34" s="134"/>
      <c r="F34" s="134"/>
      <c r="G34" s="134"/>
      <c r="H34" s="56"/>
      <c r="J34" s="37">
        <f>D29/5</f>
        <v>30</v>
      </c>
      <c r="K34" s="37">
        <f>VLOOKUP(J11,'KT-Beiträge M'!A:C,3,FALSE)</f>
        <v>1.39</v>
      </c>
      <c r="L34" s="37">
        <f>IF(INT(J34)=J34,0,1)</f>
        <v>0</v>
      </c>
    </row>
    <row r="35" spans="1:12" ht="15" customHeight="1">
      <c r="A35" s="56"/>
      <c r="B35" s="134"/>
      <c r="C35" s="134"/>
      <c r="D35" s="134"/>
      <c r="E35" s="134"/>
      <c r="F35" s="134"/>
      <c r="G35" s="134"/>
      <c r="H35" s="56"/>
      <c r="J35" s="52">
        <f>D30/5</f>
        <v>17</v>
      </c>
      <c r="K35" s="37">
        <f>VLOOKUP(J11,'KT-Beiträge M'!A:J,J31,FALSE)</f>
        <v>1.22</v>
      </c>
      <c r="L35" s="37">
        <f>IF(INT(J35)=J35,0,1)</f>
        <v>0</v>
      </c>
    </row>
    <row r="36" spans="1:12" ht="15" customHeight="1">
      <c r="A36" s="38"/>
      <c r="B36" s="38"/>
      <c r="C36" s="38"/>
      <c r="D36" s="38"/>
      <c r="E36" s="38"/>
      <c r="F36" s="38"/>
      <c r="G36" s="38"/>
      <c r="H36" s="38"/>
      <c r="J36" s="52"/>
      <c r="K36" s="37"/>
      <c r="L36" s="37"/>
    </row>
    <row r="37" spans="1:12" ht="15" customHeight="1">
      <c r="A37" s="38"/>
      <c r="B37" s="38"/>
      <c r="C37" s="38"/>
      <c r="D37" s="38"/>
      <c r="E37" s="38"/>
      <c r="F37" s="38"/>
      <c r="G37" s="38"/>
      <c r="H37" s="38"/>
      <c r="J37" s="52"/>
      <c r="K37" s="37"/>
      <c r="L37" s="37"/>
    </row>
    <row r="38" spans="1:12" ht="15" customHeight="1">
      <c r="A38" s="38"/>
      <c r="B38" s="38"/>
      <c r="C38" s="38"/>
      <c r="D38" s="38"/>
      <c r="E38" s="38"/>
      <c r="F38" s="38"/>
      <c r="G38" s="38"/>
      <c r="H38" s="38"/>
      <c r="J38" s="52"/>
      <c r="K38" s="37"/>
      <c r="L38" s="37"/>
    </row>
    <row r="39" spans="1:12" ht="15" customHeight="1">
      <c r="A39" s="38"/>
      <c r="B39" s="38" t="s">
        <v>101</v>
      </c>
      <c r="C39" s="38"/>
      <c r="D39" s="38"/>
      <c r="E39" s="38"/>
      <c r="F39" s="38"/>
      <c r="G39" s="38"/>
      <c r="H39" s="38"/>
      <c r="J39" s="52"/>
      <c r="K39" s="37"/>
      <c r="L39" s="37"/>
    </row>
    <row r="40" spans="1:12" ht="15" customHeight="1">
      <c r="A40" s="38"/>
      <c r="B40" s="38"/>
      <c r="C40" s="38"/>
      <c r="D40" s="38"/>
      <c r="E40" s="38"/>
      <c r="F40" s="38"/>
      <c r="G40" s="38"/>
      <c r="H40" s="38"/>
      <c r="J40" s="37"/>
      <c r="K40" s="37"/>
      <c r="L40" s="37">
        <f>L33+L34+L35</f>
        <v>0</v>
      </c>
    </row>
  </sheetData>
  <mergeCells count="11">
    <mergeCell ref="B4:F4"/>
    <mergeCell ref="B26:C26"/>
    <mergeCell ref="B31:F31"/>
    <mergeCell ref="B34:G35"/>
    <mergeCell ref="B15:F15"/>
    <mergeCell ref="B17:F17"/>
    <mergeCell ref="B19:G20"/>
    <mergeCell ref="C21:C22"/>
    <mergeCell ref="E21:G22"/>
    <mergeCell ref="B24:C24"/>
    <mergeCell ref="E24:H25"/>
  </mergeCells>
  <dataValidations count="4">
    <dataValidation type="whole" allowBlank="1" showInputMessage="1" showErrorMessage="1" sqref="D28:D30">
      <formula1>0</formula1>
      <formula2>500</formula2>
    </dataValidation>
    <dataValidation type="list" allowBlank="1" showInputMessage="1" showErrorMessage="1" sqref="G11">
      <formula1>Steuerung!$J$3:$J$52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B30">
      <formula1>Steuerung!$D$26:$D$32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2" r:id="rId6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9"/>
  <dimension ref="A1:G78"/>
  <sheetViews>
    <sheetView workbookViewId="0" topLeftCell="A36">
      <selection activeCell="A27" sqref="A27:H78"/>
    </sheetView>
  </sheetViews>
  <sheetFormatPr defaultColWidth="11.421875" defaultRowHeight="12.75"/>
  <cols>
    <col min="1" max="1" width="9.8515625" style="18" customWidth="1"/>
    <col min="2" max="7" width="12.140625" style="10" customWidth="1"/>
    <col min="8" max="16384" width="11.421875" style="9" customWidth="1"/>
  </cols>
  <sheetData>
    <row r="1" spans="1:7" ht="12.75">
      <c r="A1" s="13"/>
      <c r="B1" s="93"/>
      <c r="C1" s="93"/>
      <c r="D1" s="93"/>
      <c r="E1" s="93"/>
      <c r="F1" s="93"/>
      <c r="G1" s="93"/>
    </row>
    <row r="2" spans="1:7" ht="12.75">
      <c r="A2" s="13"/>
      <c r="B2" s="93"/>
      <c r="C2" s="93"/>
      <c r="D2" s="93"/>
      <c r="E2" s="93"/>
      <c r="F2" s="93"/>
      <c r="G2" s="93"/>
    </row>
    <row r="3" spans="1:7" ht="12.75">
      <c r="A3" s="13"/>
      <c r="B3" s="93"/>
      <c r="C3" s="93"/>
      <c r="D3" s="93"/>
      <c r="E3" s="93"/>
      <c r="F3" s="93"/>
      <c r="G3" s="93"/>
    </row>
    <row r="4" spans="1:7" ht="12.75">
      <c r="A4" s="13"/>
      <c r="B4" s="93"/>
      <c r="C4" s="93"/>
      <c r="D4" s="93"/>
      <c r="E4" s="93"/>
      <c r="F4" s="93"/>
      <c r="G4" s="93"/>
    </row>
    <row r="5" spans="1:7" ht="12.75">
      <c r="A5" s="13"/>
      <c r="B5" s="93"/>
      <c r="C5" s="93"/>
      <c r="D5" s="93"/>
      <c r="E5" s="93"/>
      <c r="F5" s="93"/>
      <c r="G5" s="93"/>
    </row>
    <row r="6" spans="1:7" ht="12.75">
      <c r="A6" s="15"/>
      <c r="B6" s="94"/>
      <c r="C6" s="94"/>
      <c r="D6" s="94"/>
      <c r="E6" s="94"/>
      <c r="F6" s="94"/>
      <c r="G6" s="94"/>
    </row>
    <row r="7" spans="1:7" ht="12.75">
      <c r="A7" s="17"/>
      <c r="B7" s="93"/>
      <c r="C7" s="93"/>
      <c r="D7" s="93"/>
      <c r="E7" s="93"/>
      <c r="F7" s="93"/>
      <c r="G7" s="93"/>
    </row>
    <row r="8" spans="1:7" ht="12.75">
      <c r="A8" s="17"/>
      <c r="B8" s="93"/>
      <c r="C8" s="93"/>
      <c r="D8" s="93"/>
      <c r="E8" s="93"/>
      <c r="F8" s="93"/>
      <c r="G8" s="93"/>
    </row>
    <row r="9" spans="1:7" ht="12.75">
      <c r="A9" s="17"/>
      <c r="B9" s="93"/>
      <c r="C9" s="93"/>
      <c r="D9" s="93"/>
      <c r="E9" s="93"/>
      <c r="F9" s="93"/>
      <c r="G9" s="93"/>
    </row>
    <row r="10" spans="1:7" ht="12.75">
      <c r="A10" s="17"/>
      <c r="B10" s="93"/>
      <c r="C10" s="93"/>
      <c r="D10" s="93"/>
      <c r="E10" s="93"/>
      <c r="F10" s="93"/>
      <c r="G10" s="93"/>
    </row>
    <row r="11" spans="1:7" ht="12.75">
      <c r="A11" s="15"/>
      <c r="B11" s="94"/>
      <c r="C11" s="94"/>
      <c r="D11" s="94"/>
      <c r="E11" s="94"/>
      <c r="F11" s="94"/>
      <c r="G11" s="94"/>
    </row>
    <row r="12" spans="1:7" ht="12.75">
      <c r="A12" s="17"/>
      <c r="B12" s="93"/>
      <c r="C12" s="93"/>
      <c r="D12" s="93"/>
      <c r="E12" s="93"/>
      <c r="F12" s="93"/>
      <c r="G12" s="93"/>
    </row>
    <row r="13" spans="1:7" ht="12.75">
      <c r="A13" s="17"/>
      <c r="B13" s="93"/>
      <c r="C13" s="93"/>
      <c r="D13" s="93"/>
      <c r="E13" s="93"/>
      <c r="F13" s="93"/>
      <c r="G13" s="93"/>
    </row>
    <row r="14" spans="1:7" ht="12.75">
      <c r="A14" s="17"/>
      <c r="B14" s="93"/>
      <c r="C14" s="93"/>
      <c r="D14" s="93"/>
      <c r="E14" s="93"/>
      <c r="F14" s="93"/>
      <c r="G14" s="93"/>
    </row>
    <row r="15" spans="1:7" ht="12.75">
      <c r="A15" s="17"/>
      <c r="B15" s="93"/>
      <c r="C15" s="93"/>
      <c r="D15" s="93"/>
      <c r="E15" s="93"/>
      <c r="F15" s="93"/>
      <c r="G15" s="93"/>
    </row>
    <row r="16" spans="1:7" ht="12.75">
      <c r="A16" s="15"/>
      <c r="B16" s="94"/>
      <c r="C16" s="94"/>
      <c r="D16" s="94"/>
      <c r="E16" s="94"/>
      <c r="F16" s="94"/>
      <c r="G16" s="94"/>
    </row>
    <row r="17" spans="1:7" ht="12.75">
      <c r="A17" s="17"/>
      <c r="B17" s="93"/>
      <c r="C17" s="93"/>
      <c r="D17" s="93"/>
      <c r="E17" s="93"/>
      <c r="F17" s="93"/>
      <c r="G17" s="93"/>
    </row>
    <row r="18" spans="1:7" ht="12.75">
      <c r="A18" s="17"/>
      <c r="B18" s="93"/>
      <c r="C18" s="93"/>
      <c r="D18" s="93"/>
      <c r="E18" s="93"/>
      <c r="F18" s="93"/>
      <c r="G18" s="93"/>
    </row>
    <row r="19" spans="1:7" ht="12.75">
      <c r="A19" s="17"/>
      <c r="B19" s="93"/>
      <c r="C19" s="93"/>
      <c r="D19" s="93"/>
      <c r="E19" s="93"/>
      <c r="F19" s="93"/>
      <c r="G19" s="93"/>
    </row>
    <row r="20" spans="1:7" ht="12.75">
      <c r="A20" s="17"/>
      <c r="B20" s="93"/>
      <c r="C20" s="93"/>
      <c r="D20" s="93"/>
      <c r="E20" s="93"/>
      <c r="F20" s="93"/>
      <c r="G20" s="93"/>
    </row>
    <row r="21" spans="1:7" ht="12.75">
      <c r="A21" s="15"/>
      <c r="B21" s="94"/>
      <c r="C21" s="94"/>
      <c r="D21" s="94"/>
      <c r="E21" s="94"/>
      <c r="F21" s="94"/>
      <c r="G21" s="94"/>
    </row>
    <row r="22" spans="1:7" ht="12.75">
      <c r="A22" s="17"/>
      <c r="B22" s="93"/>
      <c r="C22" s="93"/>
      <c r="D22" s="93"/>
      <c r="E22" s="93"/>
      <c r="F22" s="93"/>
      <c r="G22" s="93"/>
    </row>
    <row r="23" spans="1:7" ht="12.75">
      <c r="A23" s="17"/>
      <c r="B23" s="93"/>
      <c r="C23" s="93"/>
      <c r="D23" s="93"/>
      <c r="E23" s="93"/>
      <c r="F23" s="93"/>
      <c r="G23" s="93"/>
    </row>
    <row r="24" spans="1:7" ht="12.75">
      <c r="A24" s="17"/>
      <c r="B24" s="93"/>
      <c r="C24" s="93"/>
      <c r="D24" s="93"/>
      <c r="E24" s="93"/>
      <c r="F24" s="93"/>
      <c r="G24" s="93"/>
    </row>
    <row r="25" spans="1:7" ht="12.75">
      <c r="A25" s="17"/>
      <c r="B25" s="93"/>
      <c r="C25" s="93"/>
      <c r="D25" s="93"/>
      <c r="E25" s="93"/>
      <c r="F25" s="93"/>
      <c r="G25" s="93"/>
    </row>
    <row r="26" spans="1:7" ht="12.75">
      <c r="A26" s="15"/>
      <c r="B26" s="94"/>
      <c r="C26" s="94"/>
      <c r="D26" s="94"/>
      <c r="E26" s="94"/>
      <c r="F26" s="94"/>
      <c r="G26" s="94"/>
    </row>
    <row r="27" spans="1:7" ht="12.75">
      <c r="A27" s="13">
        <v>15</v>
      </c>
      <c r="B27" s="93">
        <v>1</v>
      </c>
      <c r="C27" s="93">
        <v>0.75</v>
      </c>
      <c r="D27" s="93">
        <v>0.52</v>
      </c>
      <c r="E27" s="93">
        <v>0.25</v>
      </c>
      <c r="F27" s="93">
        <v>0.13</v>
      </c>
      <c r="G27" s="93">
        <v>0.08</v>
      </c>
    </row>
    <row r="28" spans="1:7" ht="12.75">
      <c r="A28" s="13">
        <v>16</v>
      </c>
      <c r="B28" s="93">
        <v>1.03</v>
      </c>
      <c r="C28" s="93">
        <v>0.77</v>
      </c>
      <c r="D28" s="93">
        <v>0.54</v>
      </c>
      <c r="E28" s="93">
        <v>0.25</v>
      </c>
      <c r="F28" s="93">
        <v>0.14</v>
      </c>
      <c r="G28" s="93">
        <v>0.08</v>
      </c>
    </row>
    <row r="29" spans="1:7" ht="12.75">
      <c r="A29" s="13">
        <v>17</v>
      </c>
      <c r="B29" s="93">
        <v>1.05</v>
      </c>
      <c r="C29" s="93">
        <v>0.79</v>
      </c>
      <c r="D29" s="93">
        <v>0.55</v>
      </c>
      <c r="E29" s="93">
        <v>0.26</v>
      </c>
      <c r="F29" s="93">
        <v>0.14</v>
      </c>
      <c r="G29" s="93">
        <v>0.08</v>
      </c>
    </row>
    <row r="30" spans="1:7" ht="12.75">
      <c r="A30" s="13">
        <v>18</v>
      </c>
      <c r="B30" s="93">
        <v>1.08</v>
      </c>
      <c r="C30" s="93">
        <v>0.8</v>
      </c>
      <c r="D30" s="93">
        <v>0.57</v>
      </c>
      <c r="E30" s="93">
        <v>0.27</v>
      </c>
      <c r="F30" s="93">
        <v>0.15</v>
      </c>
      <c r="G30" s="93">
        <v>0.08</v>
      </c>
    </row>
    <row r="31" spans="1:7" ht="12.75">
      <c r="A31" s="13">
        <v>19</v>
      </c>
      <c r="B31" s="93">
        <v>1.1</v>
      </c>
      <c r="C31" s="93">
        <v>0.82</v>
      </c>
      <c r="D31" s="93">
        <v>0.58</v>
      </c>
      <c r="E31" s="93">
        <v>0.28</v>
      </c>
      <c r="F31" s="93">
        <v>0.15</v>
      </c>
      <c r="G31" s="93">
        <v>0.09</v>
      </c>
    </row>
    <row r="32" spans="1:7" ht="12.75">
      <c r="A32" s="15">
        <v>20</v>
      </c>
      <c r="B32" s="94">
        <v>1.13</v>
      </c>
      <c r="C32" s="94">
        <v>0.85</v>
      </c>
      <c r="D32" s="94">
        <v>0.6</v>
      </c>
      <c r="E32" s="94">
        <v>0.28</v>
      </c>
      <c r="F32" s="94">
        <v>0.15</v>
      </c>
      <c r="G32" s="94">
        <v>0.09</v>
      </c>
    </row>
    <row r="33" spans="1:7" ht="12.75">
      <c r="A33" s="17">
        <v>21</v>
      </c>
      <c r="B33" s="93">
        <v>1.16</v>
      </c>
      <c r="C33" s="93">
        <v>0.87</v>
      </c>
      <c r="D33" s="93">
        <v>0.61</v>
      </c>
      <c r="E33" s="93">
        <v>0.29</v>
      </c>
      <c r="F33" s="93">
        <v>0.16</v>
      </c>
      <c r="G33" s="93">
        <v>0.09</v>
      </c>
    </row>
    <row r="34" spans="1:7" ht="12.75">
      <c r="A34" s="17">
        <v>22</v>
      </c>
      <c r="B34" s="93">
        <v>1.19</v>
      </c>
      <c r="C34" s="93">
        <v>0.89</v>
      </c>
      <c r="D34" s="93">
        <v>0.63</v>
      </c>
      <c r="E34" s="93">
        <v>0.3</v>
      </c>
      <c r="F34" s="93">
        <v>0.16</v>
      </c>
      <c r="G34" s="93">
        <v>0.09</v>
      </c>
    </row>
    <row r="35" spans="1:7" ht="12.75">
      <c r="A35" s="17">
        <v>23</v>
      </c>
      <c r="B35" s="93">
        <v>1.22</v>
      </c>
      <c r="C35" s="93">
        <v>0.91</v>
      </c>
      <c r="D35" s="93">
        <v>0.64</v>
      </c>
      <c r="E35" s="93">
        <v>0.31</v>
      </c>
      <c r="F35" s="93">
        <v>0.17</v>
      </c>
      <c r="G35" s="93">
        <v>0.1</v>
      </c>
    </row>
    <row r="36" spans="1:7" ht="12.75">
      <c r="A36" s="17">
        <v>24</v>
      </c>
      <c r="B36" s="93">
        <v>1.25</v>
      </c>
      <c r="C36" s="93">
        <v>0.93</v>
      </c>
      <c r="D36" s="93">
        <v>0.66</v>
      </c>
      <c r="E36" s="93">
        <v>0.31</v>
      </c>
      <c r="F36" s="93">
        <v>0.17</v>
      </c>
      <c r="G36" s="93">
        <v>0.1</v>
      </c>
    </row>
    <row r="37" spans="1:7" ht="12.75">
      <c r="A37" s="15">
        <v>25</v>
      </c>
      <c r="B37" s="94">
        <v>1.28</v>
      </c>
      <c r="C37" s="94">
        <v>0.96</v>
      </c>
      <c r="D37" s="94">
        <v>0.68</v>
      </c>
      <c r="E37" s="94">
        <v>0.32</v>
      </c>
      <c r="F37" s="94">
        <v>0.17</v>
      </c>
      <c r="G37" s="94">
        <v>0.1</v>
      </c>
    </row>
    <row r="38" spans="1:7" ht="12.75">
      <c r="A38" s="17">
        <v>26</v>
      </c>
      <c r="B38" s="93">
        <v>1.31</v>
      </c>
      <c r="C38" s="93">
        <v>0.98</v>
      </c>
      <c r="D38" s="93">
        <v>0.7</v>
      </c>
      <c r="E38" s="93">
        <v>0.33</v>
      </c>
      <c r="F38" s="93">
        <v>0.18</v>
      </c>
      <c r="G38" s="93">
        <v>0.1</v>
      </c>
    </row>
    <row r="39" spans="1:7" ht="12.75">
      <c r="A39" s="17">
        <v>27</v>
      </c>
      <c r="B39" s="93">
        <v>1.35</v>
      </c>
      <c r="C39" s="93">
        <v>1.01</v>
      </c>
      <c r="D39" s="93">
        <v>0.71</v>
      </c>
      <c r="E39" s="93">
        <v>0.34</v>
      </c>
      <c r="F39" s="93">
        <v>0.18</v>
      </c>
      <c r="G39" s="93">
        <v>0.11</v>
      </c>
    </row>
    <row r="40" spans="1:7" ht="12.75">
      <c r="A40" s="17">
        <v>28</v>
      </c>
      <c r="B40" s="93">
        <v>1.38</v>
      </c>
      <c r="C40" s="93">
        <v>1.03</v>
      </c>
      <c r="D40" s="93">
        <v>0.73</v>
      </c>
      <c r="E40" s="93">
        <v>0.35</v>
      </c>
      <c r="F40" s="93">
        <v>0.19</v>
      </c>
      <c r="G40" s="93">
        <v>0.11</v>
      </c>
    </row>
    <row r="41" spans="1:7" ht="12.75">
      <c r="A41" s="17">
        <v>29</v>
      </c>
      <c r="B41" s="93">
        <v>1.42</v>
      </c>
      <c r="C41" s="93">
        <v>1.06</v>
      </c>
      <c r="D41" s="93">
        <v>0.75</v>
      </c>
      <c r="E41" s="93">
        <v>0.36</v>
      </c>
      <c r="F41" s="93">
        <v>0.19</v>
      </c>
      <c r="G41" s="93">
        <v>0.11</v>
      </c>
    </row>
    <row r="42" spans="1:7" ht="12.75">
      <c r="A42" s="15">
        <v>30</v>
      </c>
      <c r="B42" s="94">
        <v>1.45</v>
      </c>
      <c r="C42" s="94">
        <v>1.09</v>
      </c>
      <c r="D42" s="94">
        <v>0.77</v>
      </c>
      <c r="E42" s="94">
        <v>0.37</v>
      </c>
      <c r="F42" s="94">
        <v>0.2</v>
      </c>
      <c r="G42" s="94">
        <v>0.12</v>
      </c>
    </row>
    <row r="43" spans="1:7" ht="12.75">
      <c r="A43" s="17">
        <v>31</v>
      </c>
      <c r="B43" s="93">
        <v>1.49</v>
      </c>
      <c r="C43" s="93">
        <v>1.11</v>
      </c>
      <c r="D43" s="93">
        <v>0.79</v>
      </c>
      <c r="E43" s="93">
        <v>0.38</v>
      </c>
      <c r="F43" s="93">
        <v>0.21</v>
      </c>
      <c r="G43" s="93">
        <v>0.12</v>
      </c>
    </row>
    <row r="44" spans="1:7" ht="12.75">
      <c r="A44" s="17">
        <v>32</v>
      </c>
      <c r="B44" s="93">
        <v>1.53</v>
      </c>
      <c r="C44" s="93">
        <v>1.14</v>
      </c>
      <c r="D44" s="93">
        <v>0.81</v>
      </c>
      <c r="E44" s="93">
        <v>0.39</v>
      </c>
      <c r="F44" s="93">
        <v>0.21</v>
      </c>
      <c r="G44" s="93">
        <v>0.12</v>
      </c>
    </row>
    <row r="45" spans="1:7" ht="12.75">
      <c r="A45" s="17">
        <v>33</v>
      </c>
      <c r="B45" s="93">
        <v>1.57</v>
      </c>
      <c r="C45" s="93">
        <v>1.18</v>
      </c>
      <c r="D45" s="93">
        <v>0.84</v>
      </c>
      <c r="E45" s="93">
        <v>0.4</v>
      </c>
      <c r="F45" s="93">
        <v>0.22</v>
      </c>
      <c r="G45" s="93">
        <v>0.12</v>
      </c>
    </row>
    <row r="46" spans="1:7" ht="12.75">
      <c r="A46" s="17">
        <v>34</v>
      </c>
      <c r="B46" s="93">
        <v>1.62</v>
      </c>
      <c r="C46" s="93">
        <v>1.21</v>
      </c>
      <c r="D46" s="93">
        <v>0.86</v>
      </c>
      <c r="E46" s="93">
        <v>0.41</v>
      </c>
      <c r="F46" s="93">
        <v>0.22</v>
      </c>
      <c r="G46" s="93">
        <v>0.13</v>
      </c>
    </row>
    <row r="47" spans="1:7" ht="12.75">
      <c r="A47" s="15">
        <v>35</v>
      </c>
      <c r="B47" s="94">
        <v>1.66</v>
      </c>
      <c r="C47" s="94">
        <v>1.24</v>
      </c>
      <c r="D47" s="94">
        <v>0.88</v>
      </c>
      <c r="E47" s="94">
        <v>0.43</v>
      </c>
      <c r="F47" s="94">
        <v>0.23</v>
      </c>
      <c r="G47" s="94">
        <v>0.13</v>
      </c>
    </row>
    <row r="48" spans="1:7" ht="12.75">
      <c r="A48" s="17">
        <v>36</v>
      </c>
      <c r="B48" s="93">
        <v>1.71</v>
      </c>
      <c r="C48" s="93">
        <v>1.28</v>
      </c>
      <c r="D48" s="93">
        <v>0.91</v>
      </c>
      <c r="E48" s="93">
        <v>0.44</v>
      </c>
      <c r="F48" s="93">
        <v>0.24</v>
      </c>
      <c r="G48" s="93">
        <v>0.14</v>
      </c>
    </row>
    <row r="49" spans="1:7" ht="12.75">
      <c r="A49" s="17">
        <v>37</v>
      </c>
      <c r="B49" s="93">
        <v>1.77</v>
      </c>
      <c r="C49" s="93">
        <v>1.32</v>
      </c>
      <c r="D49" s="93">
        <v>0.94</v>
      </c>
      <c r="E49" s="93">
        <v>0.45</v>
      </c>
      <c r="F49" s="93">
        <v>0.25</v>
      </c>
      <c r="G49" s="93">
        <v>0.14</v>
      </c>
    </row>
    <row r="50" spans="1:7" ht="12.75">
      <c r="A50" s="17">
        <v>38</v>
      </c>
      <c r="B50" s="93">
        <v>1.83</v>
      </c>
      <c r="C50" s="93">
        <v>1.37</v>
      </c>
      <c r="D50" s="93">
        <v>0.97</v>
      </c>
      <c r="E50" s="93">
        <v>0.47</v>
      </c>
      <c r="F50" s="93">
        <v>0.25</v>
      </c>
      <c r="G50" s="93">
        <v>0.15</v>
      </c>
    </row>
    <row r="51" spans="1:7" ht="12.75">
      <c r="A51" s="17">
        <v>39</v>
      </c>
      <c r="B51" s="93">
        <v>1.89</v>
      </c>
      <c r="C51" s="93">
        <v>1.41</v>
      </c>
      <c r="D51" s="93">
        <v>1.01</v>
      </c>
      <c r="E51" s="93">
        <v>0.49</v>
      </c>
      <c r="F51" s="93">
        <v>0.26</v>
      </c>
      <c r="G51" s="93">
        <v>0.15</v>
      </c>
    </row>
    <row r="52" spans="1:7" ht="12.75">
      <c r="A52" s="15">
        <v>40</v>
      </c>
      <c r="B52" s="94">
        <v>1.95</v>
      </c>
      <c r="C52" s="94">
        <v>1.46</v>
      </c>
      <c r="D52" s="94">
        <v>1.04</v>
      </c>
      <c r="E52" s="94">
        <v>0.5</v>
      </c>
      <c r="F52" s="94">
        <v>0.27</v>
      </c>
      <c r="G52" s="94">
        <v>0.16</v>
      </c>
    </row>
    <row r="53" spans="1:7" ht="12.75">
      <c r="A53" s="17">
        <v>41</v>
      </c>
      <c r="B53" s="93">
        <v>2.02</v>
      </c>
      <c r="C53" s="93">
        <v>1.51</v>
      </c>
      <c r="D53" s="93">
        <v>1.08</v>
      </c>
      <c r="E53" s="93">
        <v>0.52</v>
      </c>
      <c r="F53" s="93">
        <v>0.28</v>
      </c>
      <c r="G53" s="93">
        <v>0.16</v>
      </c>
    </row>
    <row r="54" spans="1:7" ht="12.75">
      <c r="A54" s="17">
        <v>42</v>
      </c>
      <c r="B54" s="93">
        <v>2.09</v>
      </c>
      <c r="C54" s="93">
        <v>1.56</v>
      </c>
      <c r="D54" s="93">
        <v>1.12</v>
      </c>
      <c r="E54" s="93">
        <v>0.54</v>
      </c>
      <c r="F54" s="93">
        <v>0.29</v>
      </c>
      <c r="G54" s="93">
        <v>0.17</v>
      </c>
    </row>
    <row r="55" spans="1:7" ht="12.75">
      <c r="A55" s="17">
        <v>43</v>
      </c>
      <c r="B55" s="93">
        <v>2.17</v>
      </c>
      <c r="C55" s="93">
        <v>1.62</v>
      </c>
      <c r="D55" s="93">
        <v>1.16</v>
      </c>
      <c r="E55" s="93">
        <v>0.56</v>
      </c>
      <c r="F55" s="93">
        <v>0.3</v>
      </c>
      <c r="G55" s="93">
        <v>0.17</v>
      </c>
    </row>
    <row r="56" spans="1:7" ht="12.75">
      <c r="A56" s="17">
        <v>44</v>
      </c>
      <c r="B56" s="93">
        <v>2.24</v>
      </c>
      <c r="C56" s="93">
        <v>1.68</v>
      </c>
      <c r="D56" s="93">
        <v>1.2</v>
      </c>
      <c r="E56" s="93">
        <v>0.58</v>
      </c>
      <c r="F56" s="93">
        <v>0.32</v>
      </c>
      <c r="G56" s="93">
        <v>0.18</v>
      </c>
    </row>
    <row r="57" spans="1:7" ht="12.75">
      <c r="A57" s="15">
        <v>45</v>
      </c>
      <c r="B57" s="94">
        <v>2.33</v>
      </c>
      <c r="C57" s="94">
        <v>1.74</v>
      </c>
      <c r="D57" s="94">
        <v>1.24</v>
      </c>
      <c r="E57" s="94">
        <v>0.61</v>
      </c>
      <c r="F57" s="94">
        <v>0.33</v>
      </c>
      <c r="G57" s="94">
        <v>0.19</v>
      </c>
    </row>
    <row r="58" spans="1:7" ht="12.75">
      <c r="A58" s="17">
        <v>46</v>
      </c>
      <c r="B58" s="93">
        <v>2.41</v>
      </c>
      <c r="C58" s="93">
        <v>1.8</v>
      </c>
      <c r="D58" s="93">
        <v>1.29</v>
      </c>
      <c r="E58" s="93">
        <v>0.63</v>
      </c>
      <c r="F58" s="93">
        <v>0.34</v>
      </c>
      <c r="G58" s="93">
        <v>0.19</v>
      </c>
    </row>
    <row r="59" spans="1:7" ht="12.75">
      <c r="A59" s="17">
        <v>47</v>
      </c>
      <c r="B59" s="93">
        <v>2.5</v>
      </c>
      <c r="C59" s="93">
        <v>1.87</v>
      </c>
      <c r="D59" s="93">
        <v>1.34</v>
      </c>
      <c r="E59" s="93">
        <v>0.65</v>
      </c>
      <c r="F59" s="93">
        <v>0.35</v>
      </c>
      <c r="G59" s="93">
        <v>0.2</v>
      </c>
    </row>
    <row r="60" spans="1:7" ht="12.75">
      <c r="A60" s="17">
        <v>48</v>
      </c>
      <c r="B60" s="93">
        <v>2.59</v>
      </c>
      <c r="C60" s="93">
        <v>1.94</v>
      </c>
      <c r="D60" s="93">
        <v>1.38</v>
      </c>
      <c r="E60" s="93">
        <v>0.68</v>
      </c>
      <c r="F60" s="93">
        <v>0.36</v>
      </c>
      <c r="G60" s="93">
        <v>0.21</v>
      </c>
    </row>
    <row r="61" spans="1:7" ht="12.75">
      <c r="A61" s="17">
        <v>49</v>
      </c>
      <c r="B61" s="93">
        <v>2.68</v>
      </c>
      <c r="C61" s="93">
        <v>2.01</v>
      </c>
      <c r="D61" s="93">
        <v>1.43</v>
      </c>
      <c r="E61" s="93">
        <v>0.7</v>
      </c>
      <c r="F61" s="93">
        <v>0.38</v>
      </c>
      <c r="G61" s="93">
        <v>0.22</v>
      </c>
    </row>
    <row r="62" spans="1:7" ht="12.75">
      <c r="A62" s="15">
        <v>50</v>
      </c>
      <c r="B62" s="94">
        <v>2.78</v>
      </c>
      <c r="C62" s="94">
        <v>2.08</v>
      </c>
      <c r="D62" s="94">
        <v>1.49</v>
      </c>
      <c r="E62" s="94">
        <v>0.73</v>
      </c>
      <c r="F62" s="94">
        <v>0.39</v>
      </c>
      <c r="G62" s="94">
        <v>0.22</v>
      </c>
    </row>
    <row r="63" spans="1:7" ht="12.75">
      <c r="A63" s="17">
        <v>51</v>
      </c>
      <c r="B63" s="93">
        <v>2.88</v>
      </c>
      <c r="C63" s="93">
        <v>2.16</v>
      </c>
      <c r="D63" s="93">
        <v>1.54</v>
      </c>
      <c r="E63" s="93">
        <v>0.76</v>
      </c>
      <c r="F63" s="93">
        <v>0.41</v>
      </c>
      <c r="G63" s="93">
        <v>0.23</v>
      </c>
    </row>
    <row r="64" spans="1:7" ht="12.75">
      <c r="A64" s="17">
        <v>52</v>
      </c>
      <c r="B64" s="93">
        <v>2.99</v>
      </c>
      <c r="C64" s="93">
        <v>2.24</v>
      </c>
      <c r="D64" s="93">
        <v>1.6</v>
      </c>
      <c r="E64" s="93">
        <v>0.79</v>
      </c>
      <c r="F64" s="93">
        <v>0.42</v>
      </c>
      <c r="G64" s="93">
        <v>0.24</v>
      </c>
    </row>
    <row r="65" spans="1:7" ht="12.75">
      <c r="A65" s="17">
        <v>53</v>
      </c>
      <c r="B65" s="93">
        <v>3.1</v>
      </c>
      <c r="C65" s="93">
        <v>2.32</v>
      </c>
      <c r="D65" s="93">
        <v>1.66</v>
      </c>
      <c r="E65" s="93">
        <v>0.82</v>
      </c>
      <c r="F65" s="93">
        <v>0.44</v>
      </c>
      <c r="G65" s="93">
        <v>0.25</v>
      </c>
    </row>
    <row r="66" spans="1:7" ht="12.75">
      <c r="A66" s="17">
        <v>54</v>
      </c>
      <c r="B66" s="93">
        <v>3.21</v>
      </c>
      <c r="C66" s="93">
        <v>2.4</v>
      </c>
      <c r="D66" s="93">
        <v>1.72</v>
      </c>
      <c r="E66" s="93">
        <v>0.85</v>
      </c>
      <c r="F66" s="93">
        <v>0.46</v>
      </c>
      <c r="G66" s="93">
        <v>0.26</v>
      </c>
    </row>
    <row r="67" spans="1:7" ht="12.75">
      <c r="A67" s="15">
        <v>55</v>
      </c>
      <c r="B67" s="94">
        <v>3.32</v>
      </c>
      <c r="C67" s="94">
        <v>2.49</v>
      </c>
      <c r="D67" s="94">
        <v>1.78</v>
      </c>
      <c r="E67" s="94">
        <v>0.88</v>
      </c>
      <c r="F67" s="94">
        <v>0.47</v>
      </c>
      <c r="G67" s="94">
        <v>0.27</v>
      </c>
    </row>
    <row r="68" spans="1:7" ht="12.75">
      <c r="A68" s="17">
        <v>56</v>
      </c>
      <c r="B68" s="93">
        <v>3.44</v>
      </c>
      <c r="C68" s="93">
        <v>2.58</v>
      </c>
      <c r="D68" s="93">
        <v>1.84</v>
      </c>
      <c r="E68" s="93">
        <v>0.91</v>
      </c>
      <c r="F68" s="93">
        <v>0.49</v>
      </c>
      <c r="G68" s="93">
        <v>0.28</v>
      </c>
    </row>
    <row r="69" spans="1:7" ht="12.75">
      <c r="A69" s="17">
        <v>57</v>
      </c>
      <c r="B69" s="93">
        <v>3.56</v>
      </c>
      <c r="C69" s="93">
        <v>2.66</v>
      </c>
      <c r="D69" s="93">
        <v>1.91</v>
      </c>
      <c r="E69" s="93">
        <v>0.94</v>
      </c>
      <c r="F69" s="93">
        <v>0.51</v>
      </c>
      <c r="G69" s="93">
        <v>0.29</v>
      </c>
    </row>
    <row r="70" spans="1:7" ht="12.75">
      <c r="A70" s="17">
        <v>58</v>
      </c>
      <c r="B70" s="93">
        <v>3.62</v>
      </c>
      <c r="C70" s="93">
        <v>2.71</v>
      </c>
      <c r="D70" s="93">
        <v>1.94</v>
      </c>
      <c r="E70" s="93">
        <v>0.96</v>
      </c>
      <c r="F70" s="93">
        <v>0.52</v>
      </c>
      <c r="G70" s="93">
        <v>0.29</v>
      </c>
    </row>
    <row r="71" spans="1:7" ht="12.75">
      <c r="A71" s="17">
        <v>59</v>
      </c>
      <c r="B71" s="93">
        <v>3.65</v>
      </c>
      <c r="C71" s="93">
        <v>2.73</v>
      </c>
      <c r="D71" s="93">
        <v>1.95</v>
      </c>
      <c r="E71" s="93">
        <v>0.97</v>
      </c>
      <c r="F71" s="93">
        <v>0.52</v>
      </c>
      <c r="G71" s="93">
        <v>0.3</v>
      </c>
    </row>
    <row r="72" spans="1:7" ht="12.75">
      <c r="A72" s="15">
        <v>60</v>
      </c>
      <c r="B72" s="94">
        <v>3.65</v>
      </c>
      <c r="C72" s="94">
        <v>2.73</v>
      </c>
      <c r="D72" s="94">
        <v>1.95</v>
      </c>
      <c r="E72" s="94">
        <v>0.97</v>
      </c>
      <c r="F72" s="94">
        <v>0.52</v>
      </c>
      <c r="G72" s="94">
        <v>0.3</v>
      </c>
    </row>
    <row r="73" spans="1:7" ht="12.75">
      <c r="A73" s="17">
        <v>61</v>
      </c>
      <c r="B73" s="93">
        <v>3.66</v>
      </c>
      <c r="C73" s="93">
        <v>2.74</v>
      </c>
      <c r="D73" s="93">
        <v>1.96</v>
      </c>
      <c r="E73" s="93">
        <v>0.98</v>
      </c>
      <c r="F73" s="93">
        <v>0.52</v>
      </c>
      <c r="G73" s="93">
        <v>0.3</v>
      </c>
    </row>
    <row r="74" spans="1:7" ht="12.75">
      <c r="A74" s="17">
        <v>62</v>
      </c>
      <c r="B74" s="93">
        <v>3.68</v>
      </c>
      <c r="C74" s="93">
        <v>2.76</v>
      </c>
      <c r="D74" s="93">
        <v>1.97</v>
      </c>
      <c r="E74" s="93">
        <v>0.98</v>
      </c>
      <c r="F74" s="93">
        <v>0.53</v>
      </c>
      <c r="G74" s="93">
        <v>0.3</v>
      </c>
    </row>
    <row r="75" spans="1:7" ht="12.75">
      <c r="A75" s="17">
        <v>63</v>
      </c>
      <c r="B75" s="93">
        <v>3.72</v>
      </c>
      <c r="C75" s="93">
        <v>2.79</v>
      </c>
      <c r="D75" s="93">
        <v>1.99</v>
      </c>
      <c r="E75" s="93">
        <v>0.99</v>
      </c>
      <c r="F75" s="93">
        <v>0.53</v>
      </c>
      <c r="G75" s="93">
        <v>0.3</v>
      </c>
    </row>
    <row r="76" spans="1:7" ht="12.75">
      <c r="A76" s="17">
        <v>64</v>
      </c>
      <c r="B76" s="93">
        <v>3.73</v>
      </c>
      <c r="C76" s="93">
        <v>2.79</v>
      </c>
      <c r="D76" s="93">
        <v>2</v>
      </c>
      <c r="E76" s="93">
        <v>0.99</v>
      </c>
      <c r="F76" s="93">
        <v>0.53</v>
      </c>
      <c r="G76" s="93">
        <v>0.3</v>
      </c>
    </row>
    <row r="77" spans="1:7" ht="12.75">
      <c r="A77" s="11">
        <v>5</v>
      </c>
      <c r="B77" s="12" t="s">
        <v>29</v>
      </c>
      <c r="C77" s="12" t="s">
        <v>30</v>
      </c>
      <c r="D77" s="12" t="s">
        <v>31</v>
      </c>
      <c r="E77" s="12" t="s">
        <v>32</v>
      </c>
      <c r="F77" s="12" t="s">
        <v>33</v>
      </c>
      <c r="G77" s="12" t="s">
        <v>34</v>
      </c>
    </row>
    <row r="78" spans="1:7" ht="12.75">
      <c r="A78" s="18" t="s">
        <v>56</v>
      </c>
      <c r="B78" s="23" t="s">
        <v>111</v>
      </c>
      <c r="C78" s="23" t="s">
        <v>111</v>
      </c>
      <c r="D78" s="23" t="s">
        <v>111</v>
      </c>
      <c r="E78" s="23" t="s">
        <v>111</v>
      </c>
      <c r="F78" s="23" t="s">
        <v>111</v>
      </c>
      <c r="G78" s="23" t="s">
        <v>111</v>
      </c>
    </row>
  </sheetData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10"/>
  <dimension ref="A1:J80"/>
  <sheetViews>
    <sheetView workbookViewId="0" topLeftCell="A30">
      <selection activeCell="A50" sqref="A50:C50"/>
    </sheetView>
  </sheetViews>
  <sheetFormatPr defaultColWidth="11.421875" defaultRowHeight="12.75"/>
  <cols>
    <col min="1" max="1" width="9.8515625" style="18" customWidth="1"/>
    <col min="2" max="9" width="12.140625" style="10" customWidth="1"/>
    <col min="10" max="16384" width="11.421875" style="9" customWidth="1"/>
  </cols>
  <sheetData>
    <row r="1" spans="1:9" ht="12.75">
      <c r="A1" s="13"/>
      <c r="B1" s="93"/>
      <c r="C1" s="14"/>
      <c r="D1" s="93"/>
      <c r="E1" s="93"/>
      <c r="F1" s="93"/>
      <c r="G1" s="93"/>
      <c r="H1" s="93"/>
      <c r="I1" s="93"/>
    </row>
    <row r="2" spans="1:9" ht="12.75">
      <c r="A2" s="13"/>
      <c r="B2" s="93"/>
      <c r="C2" s="14"/>
      <c r="D2" s="93"/>
      <c r="E2" s="93"/>
      <c r="F2" s="93"/>
      <c r="G2" s="93"/>
      <c r="H2" s="93"/>
      <c r="I2" s="93"/>
    </row>
    <row r="3" spans="1:9" ht="12.75">
      <c r="A3" s="13"/>
      <c r="B3" s="93"/>
      <c r="C3" s="14"/>
      <c r="D3" s="93"/>
      <c r="E3" s="93"/>
      <c r="F3" s="93"/>
      <c r="G3" s="93"/>
      <c r="H3" s="93"/>
      <c r="I3" s="93"/>
    </row>
    <row r="4" spans="1:9" ht="12.75">
      <c r="A4" s="13"/>
      <c r="B4" s="93"/>
      <c r="C4" s="14"/>
      <c r="D4" s="93"/>
      <c r="E4" s="93"/>
      <c r="F4" s="93"/>
      <c r="G4" s="93"/>
      <c r="H4" s="93"/>
      <c r="I4" s="93"/>
    </row>
    <row r="5" spans="1:9" ht="12.75">
      <c r="A5" s="13"/>
      <c r="B5" s="93"/>
      <c r="C5" s="14"/>
      <c r="D5" s="93"/>
      <c r="E5" s="93"/>
      <c r="F5" s="93"/>
      <c r="G5" s="93"/>
      <c r="H5" s="93"/>
      <c r="I5" s="93"/>
    </row>
    <row r="6" spans="1:9" ht="12.75">
      <c r="A6" s="15"/>
      <c r="B6" s="94"/>
      <c r="C6" s="16"/>
      <c r="D6" s="94"/>
      <c r="E6" s="94"/>
      <c r="F6" s="94"/>
      <c r="G6" s="94"/>
      <c r="H6" s="94"/>
      <c r="I6" s="94"/>
    </row>
    <row r="7" spans="1:9" ht="12.75">
      <c r="A7" s="17"/>
      <c r="B7" s="93"/>
      <c r="C7" s="14"/>
      <c r="D7" s="93"/>
      <c r="E7" s="93"/>
      <c r="F7" s="93"/>
      <c r="G7" s="93"/>
      <c r="H7" s="93"/>
      <c r="I7" s="93"/>
    </row>
    <row r="8" spans="1:9" ht="12.75">
      <c r="A8" s="17"/>
      <c r="B8" s="93"/>
      <c r="C8" s="14"/>
      <c r="D8" s="93"/>
      <c r="E8" s="93"/>
      <c r="F8" s="93"/>
      <c r="G8" s="93"/>
      <c r="H8" s="93"/>
      <c r="I8" s="93"/>
    </row>
    <row r="9" spans="1:9" ht="12.75">
      <c r="A9" s="17"/>
      <c r="B9" s="93"/>
      <c r="C9" s="14"/>
      <c r="D9" s="93"/>
      <c r="E9" s="93"/>
      <c r="F9" s="93"/>
      <c r="G9" s="93"/>
      <c r="H9" s="93"/>
      <c r="I9" s="93"/>
    </row>
    <row r="10" spans="1:9" ht="12.75">
      <c r="A10" s="17"/>
      <c r="B10" s="93"/>
      <c r="C10" s="14"/>
      <c r="D10" s="93"/>
      <c r="E10" s="93"/>
      <c r="F10" s="93"/>
      <c r="G10" s="93"/>
      <c r="H10" s="93"/>
      <c r="I10" s="93"/>
    </row>
    <row r="11" spans="1:9" ht="12.75">
      <c r="A11" s="15"/>
      <c r="B11" s="94"/>
      <c r="C11" s="16"/>
      <c r="D11" s="94"/>
      <c r="E11" s="94"/>
      <c r="F11" s="94"/>
      <c r="G11" s="94"/>
      <c r="H11" s="94"/>
      <c r="I11" s="94"/>
    </row>
    <row r="12" spans="1:9" ht="12.75">
      <c r="A12" s="17"/>
      <c r="B12" s="93"/>
      <c r="C12" s="14"/>
      <c r="D12" s="93"/>
      <c r="E12" s="93"/>
      <c r="F12" s="93"/>
      <c r="G12" s="93"/>
      <c r="H12" s="93"/>
      <c r="I12" s="93"/>
    </row>
    <row r="13" spans="1:9" ht="12.75">
      <c r="A13" s="17"/>
      <c r="B13" s="93"/>
      <c r="C13" s="14"/>
      <c r="D13" s="93"/>
      <c r="E13" s="93"/>
      <c r="F13" s="93"/>
      <c r="G13" s="93"/>
      <c r="H13" s="93"/>
      <c r="I13" s="93"/>
    </row>
    <row r="14" spans="1:9" ht="12.75">
      <c r="A14" s="17"/>
      <c r="B14" s="93"/>
      <c r="C14" s="14"/>
      <c r="D14" s="93"/>
      <c r="E14" s="93"/>
      <c r="F14" s="93"/>
      <c r="G14" s="93"/>
      <c r="H14" s="93"/>
      <c r="I14" s="93"/>
    </row>
    <row r="15" spans="1:9" ht="12.75">
      <c r="A15" s="17"/>
      <c r="B15" s="93"/>
      <c r="C15" s="14"/>
      <c r="D15" s="93"/>
      <c r="E15" s="93"/>
      <c r="F15" s="93"/>
      <c r="G15" s="93"/>
      <c r="H15" s="93"/>
      <c r="I15" s="93"/>
    </row>
    <row r="16" spans="1:9" ht="12.75">
      <c r="A16" s="15"/>
      <c r="B16" s="94"/>
      <c r="C16" s="16"/>
      <c r="D16" s="94"/>
      <c r="E16" s="94"/>
      <c r="F16" s="94"/>
      <c r="G16" s="94"/>
      <c r="H16" s="94"/>
      <c r="I16" s="94"/>
    </row>
    <row r="17" spans="1:9" ht="12.75">
      <c r="A17" s="17"/>
      <c r="B17" s="93"/>
      <c r="C17" s="14"/>
      <c r="D17" s="93"/>
      <c r="E17" s="93"/>
      <c r="F17" s="93"/>
      <c r="G17" s="93"/>
      <c r="H17" s="93"/>
      <c r="I17" s="93"/>
    </row>
    <row r="18" spans="1:9" ht="12.75">
      <c r="A18" s="17"/>
      <c r="B18" s="93"/>
      <c r="C18" s="14"/>
      <c r="D18" s="93"/>
      <c r="E18" s="93"/>
      <c r="F18" s="93"/>
      <c r="G18" s="93"/>
      <c r="H18" s="93"/>
      <c r="I18" s="93"/>
    </row>
    <row r="19" spans="1:9" ht="12.75">
      <c r="A19" s="17"/>
      <c r="B19" s="93"/>
      <c r="C19" s="14"/>
      <c r="D19" s="93"/>
      <c r="E19" s="93"/>
      <c r="F19" s="93"/>
      <c r="G19" s="93"/>
      <c r="H19" s="93"/>
      <c r="I19" s="93"/>
    </row>
    <row r="20" spans="1:9" ht="12.75">
      <c r="A20" s="17"/>
      <c r="B20" s="93"/>
      <c r="C20" s="14"/>
      <c r="D20" s="93"/>
      <c r="E20" s="93"/>
      <c r="F20" s="93"/>
      <c r="G20" s="93"/>
      <c r="H20" s="93"/>
      <c r="I20" s="93"/>
    </row>
    <row r="21" spans="1:9" ht="12.75">
      <c r="A21" s="15"/>
      <c r="B21" s="94"/>
      <c r="C21" s="16"/>
      <c r="D21" s="94"/>
      <c r="E21" s="94"/>
      <c r="F21" s="94"/>
      <c r="G21" s="94"/>
      <c r="H21" s="94"/>
      <c r="I21" s="94"/>
    </row>
    <row r="22" spans="1:9" ht="12.75">
      <c r="A22" s="17"/>
      <c r="B22" s="93"/>
      <c r="C22" s="14"/>
      <c r="D22" s="93"/>
      <c r="E22" s="93"/>
      <c r="F22" s="93"/>
      <c r="G22" s="93"/>
      <c r="H22" s="93"/>
      <c r="I22" s="93"/>
    </row>
    <row r="23" spans="1:9" ht="12.75">
      <c r="A23" s="17"/>
      <c r="B23" s="93"/>
      <c r="C23" s="14"/>
      <c r="D23" s="93"/>
      <c r="E23" s="93"/>
      <c r="F23" s="93"/>
      <c r="G23" s="93"/>
      <c r="H23" s="93"/>
      <c r="I23" s="93"/>
    </row>
    <row r="24" spans="1:9" ht="12.75">
      <c r="A24" s="17"/>
      <c r="B24" s="93"/>
      <c r="C24" s="14"/>
      <c r="D24" s="93"/>
      <c r="E24" s="93"/>
      <c r="F24" s="93"/>
      <c r="G24" s="93"/>
      <c r="H24" s="93"/>
      <c r="I24" s="93"/>
    </row>
    <row r="25" spans="1:9" ht="12.75">
      <c r="A25" s="17"/>
      <c r="B25" s="93"/>
      <c r="C25" s="14"/>
      <c r="D25" s="93"/>
      <c r="E25" s="93"/>
      <c r="F25" s="93"/>
      <c r="G25" s="93"/>
      <c r="H25" s="93"/>
      <c r="I25" s="93"/>
    </row>
    <row r="26" spans="1:9" ht="12.75">
      <c r="A26" s="15"/>
      <c r="B26" s="94"/>
      <c r="C26" s="93"/>
      <c r="D26" s="94"/>
      <c r="E26" s="94"/>
      <c r="F26" s="94"/>
      <c r="G26" s="94"/>
      <c r="H26" s="94"/>
      <c r="I26" s="94"/>
    </row>
    <row r="27" spans="1:9" ht="12.75">
      <c r="A27" s="17"/>
      <c r="B27" s="93"/>
      <c r="C27" s="93"/>
      <c r="D27" s="93"/>
      <c r="E27" s="93"/>
      <c r="F27" s="93"/>
      <c r="G27" s="93"/>
      <c r="H27" s="93"/>
      <c r="I27" s="93"/>
    </row>
    <row r="28" spans="1:9" ht="12.75">
      <c r="A28" s="13">
        <v>15</v>
      </c>
      <c r="B28" s="93">
        <f>'[1]FKT, KT, MKT, KTAR'!D7</f>
        <v>2.11</v>
      </c>
      <c r="C28" s="94">
        <f>'[1]FKT, KT, MKT, KTAR'!E7</f>
        <v>1.6</v>
      </c>
      <c r="D28" s="14">
        <v>1</v>
      </c>
      <c r="E28" s="14">
        <v>0.75</v>
      </c>
      <c r="F28" s="14">
        <v>0.52</v>
      </c>
      <c r="G28" s="14">
        <v>0.25</v>
      </c>
      <c r="H28" s="14">
        <v>0.13</v>
      </c>
      <c r="I28" s="14">
        <v>0.08</v>
      </c>
    </row>
    <row r="29" spans="1:9" ht="12.75">
      <c r="A29" s="13">
        <v>16</v>
      </c>
      <c r="B29" s="93">
        <f>'[1]FKT, KT, MKT, KTAR'!D8</f>
        <v>2.17</v>
      </c>
      <c r="C29" s="93">
        <f>'[1]FKT, KT, MKT, KTAR'!E8</f>
        <v>1.64</v>
      </c>
      <c r="D29" s="16">
        <v>1.03</v>
      </c>
      <c r="E29" s="16">
        <v>0.77</v>
      </c>
      <c r="F29" s="16">
        <v>0.54</v>
      </c>
      <c r="G29" s="16">
        <v>0.25</v>
      </c>
      <c r="H29" s="16">
        <v>0.14</v>
      </c>
      <c r="I29" s="16">
        <v>0.08</v>
      </c>
    </row>
    <row r="30" spans="1:9" ht="12.75">
      <c r="A30" s="13">
        <v>17</v>
      </c>
      <c r="B30" s="93">
        <f>'[1]FKT, KT, MKT, KTAR'!D9</f>
        <v>2.23</v>
      </c>
      <c r="C30" s="93">
        <f>'[1]FKT, KT, MKT, KTAR'!E9</f>
        <v>1.69</v>
      </c>
      <c r="D30" s="14">
        <v>1.05</v>
      </c>
      <c r="E30" s="14">
        <v>0.79</v>
      </c>
      <c r="F30" s="14">
        <v>0.55</v>
      </c>
      <c r="G30" s="14">
        <v>0.26</v>
      </c>
      <c r="H30" s="14">
        <v>0.14</v>
      </c>
      <c r="I30" s="14">
        <v>0.08</v>
      </c>
    </row>
    <row r="31" spans="1:9" ht="12.75">
      <c r="A31" s="13">
        <v>18</v>
      </c>
      <c r="B31" s="93">
        <f>'[1]FKT, KT, MKT, KTAR'!D10</f>
        <v>2.29</v>
      </c>
      <c r="C31" s="93">
        <f>'[1]FKT, KT, MKT, KTAR'!E10</f>
        <v>1.73</v>
      </c>
      <c r="D31" s="14">
        <v>1.08</v>
      </c>
      <c r="E31" s="14">
        <v>0.8</v>
      </c>
      <c r="F31" s="14">
        <v>0.57</v>
      </c>
      <c r="G31" s="14">
        <v>0.27</v>
      </c>
      <c r="H31" s="14">
        <v>0.15</v>
      </c>
      <c r="I31" s="14">
        <v>0.08</v>
      </c>
    </row>
    <row r="32" spans="1:9" ht="12.75">
      <c r="A32" s="13">
        <v>19</v>
      </c>
      <c r="B32" s="93">
        <f>'[1]FKT, KT, MKT, KTAR'!D11</f>
        <v>2.35</v>
      </c>
      <c r="C32" s="94">
        <f>'[1]FKT, KT, MKT, KTAR'!E11</f>
        <v>1.78</v>
      </c>
      <c r="D32" s="16">
        <v>1.1</v>
      </c>
      <c r="E32" s="16">
        <v>0.82</v>
      </c>
      <c r="F32" s="16">
        <v>0.58</v>
      </c>
      <c r="G32" s="16">
        <v>0.28</v>
      </c>
      <c r="H32" s="16">
        <v>0.15</v>
      </c>
      <c r="I32" s="16">
        <v>0.09</v>
      </c>
    </row>
    <row r="33" spans="1:9" ht="12.75">
      <c r="A33" s="15">
        <v>20</v>
      </c>
      <c r="B33" s="94">
        <f>'[1]FKT, KT, MKT, KTAR'!D12</f>
        <v>2.42</v>
      </c>
      <c r="C33" s="93">
        <f>'[1]FKT, KT, MKT, KTAR'!E12</f>
        <v>1.83</v>
      </c>
      <c r="D33" s="14">
        <v>1.13</v>
      </c>
      <c r="E33" s="14">
        <v>0.85</v>
      </c>
      <c r="F33" s="14">
        <v>0.6</v>
      </c>
      <c r="G33" s="14">
        <v>0.28</v>
      </c>
      <c r="H33" s="14">
        <v>0.15</v>
      </c>
      <c r="I33" s="14">
        <v>0.09</v>
      </c>
    </row>
    <row r="34" spans="1:9" ht="12.75">
      <c r="A34" s="17">
        <v>21</v>
      </c>
      <c r="B34" s="93">
        <f>'[1]FKT, KT, MKT, KTAR'!D13</f>
        <v>2.49</v>
      </c>
      <c r="C34" s="93">
        <f>'[1]FKT, KT, MKT, KTAR'!E13</f>
        <v>1.88</v>
      </c>
      <c r="D34" s="14">
        <v>1.16</v>
      </c>
      <c r="E34" s="14">
        <v>0.87</v>
      </c>
      <c r="F34" s="14">
        <v>0.61</v>
      </c>
      <c r="G34" s="14">
        <v>0.29</v>
      </c>
      <c r="H34" s="14">
        <v>0.16</v>
      </c>
      <c r="I34" s="14">
        <v>0.09</v>
      </c>
    </row>
    <row r="35" spans="1:9" ht="12.75">
      <c r="A35" s="17">
        <v>22</v>
      </c>
      <c r="B35" s="93">
        <f>'[1]FKT, KT, MKT, KTAR'!D14</f>
        <v>2.56</v>
      </c>
      <c r="C35" s="93">
        <f>'[1]FKT, KT, MKT, KTAR'!E14</f>
        <v>1.93</v>
      </c>
      <c r="D35" s="16">
        <v>1.19</v>
      </c>
      <c r="E35" s="16">
        <v>0.89</v>
      </c>
      <c r="F35" s="16">
        <v>0.63</v>
      </c>
      <c r="G35" s="16">
        <v>0.3</v>
      </c>
      <c r="H35" s="16">
        <v>0.16</v>
      </c>
      <c r="I35" s="16">
        <v>0.09</v>
      </c>
    </row>
    <row r="36" spans="1:9" ht="12.75">
      <c r="A36" s="17">
        <v>23</v>
      </c>
      <c r="B36" s="93">
        <f>'[1]FKT, KT, MKT, KTAR'!D15</f>
        <v>2.63</v>
      </c>
      <c r="C36" s="94">
        <f>'[1]FKT, KT, MKT, KTAR'!E15</f>
        <v>1.99</v>
      </c>
      <c r="D36" s="14">
        <v>1.22</v>
      </c>
      <c r="E36" s="14">
        <v>0.91</v>
      </c>
      <c r="F36" s="14">
        <v>0.64</v>
      </c>
      <c r="G36" s="14">
        <v>0.31</v>
      </c>
      <c r="H36" s="14">
        <v>0.17</v>
      </c>
      <c r="I36" s="14">
        <v>0.1</v>
      </c>
    </row>
    <row r="37" spans="1:9" ht="12.75">
      <c r="A37" s="17">
        <v>24</v>
      </c>
      <c r="B37" s="93">
        <f>'[1]FKT, KT, MKT, KTAR'!D16</f>
        <v>2.71</v>
      </c>
      <c r="C37" s="93">
        <f>'[1]FKT, KT, MKT, KTAR'!E16</f>
        <v>2.04</v>
      </c>
      <c r="D37" s="14">
        <v>1.25</v>
      </c>
      <c r="E37" s="14">
        <v>0.93</v>
      </c>
      <c r="F37" s="14">
        <v>0.66</v>
      </c>
      <c r="G37" s="14">
        <v>0.31</v>
      </c>
      <c r="H37" s="14">
        <v>0.17</v>
      </c>
      <c r="I37" s="14">
        <v>0.1</v>
      </c>
    </row>
    <row r="38" spans="1:9" ht="12.75">
      <c r="A38" s="15">
        <v>25</v>
      </c>
      <c r="B38" s="94">
        <f>'[1]FKT, KT, MKT, KTAR'!D17</f>
        <v>2.79</v>
      </c>
      <c r="C38" s="93">
        <f>'[1]FKT, KT, MKT, KTAR'!E17</f>
        <v>2.1</v>
      </c>
      <c r="D38" s="16">
        <v>1.28</v>
      </c>
      <c r="E38" s="16">
        <v>0.96</v>
      </c>
      <c r="F38" s="16">
        <v>0.68</v>
      </c>
      <c r="G38" s="16">
        <v>0.32</v>
      </c>
      <c r="H38" s="16">
        <v>0.17</v>
      </c>
      <c r="I38" s="16">
        <v>0.1</v>
      </c>
    </row>
    <row r="39" spans="1:9" ht="12.75">
      <c r="A39" s="17">
        <v>26</v>
      </c>
      <c r="B39" s="93">
        <f>'[1]FKT, KT, MKT, KTAR'!D18</f>
        <v>2.88</v>
      </c>
      <c r="C39" s="93">
        <f>'[1]FKT, KT, MKT, KTAR'!E18</f>
        <v>2.16</v>
      </c>
      <c r="D39" s="14">
        <v>1.31</v>
      </c>
      <c r="E39" s="14">
        <v>0.98</v>
      </c>
      <c r="F39" s="14">
        <v>0.7</v>
      </c>
      <c r="G39" s="14">
        <v>0.33</v>
      </c>
      <c r="H39" s="14">
        <v>0.18</v>
      </c>
      <c r="I39" s="14">
        <v>0.1</v>
      </c>
    </row>
    <row r="40" spans="1:9" ht="12.75">
      <c r="A40" s="17">
        <v>27</v>
      </c>
      <c r="B40" s="93">
        <f>'[1]FKT, KT, MKT, KTAR'!D19</f>
        <v>2.96</v>
      </c>
      <c r="C40" s="94">
        <f>'[1]FKT, KT, MKT, KTAR'!E19</f>
        <v>2.23</v>
      </c>
      <c r="D40" s="14">
        <v>1.35</v>
      </c>
      <c r="E40" s="14">
        <v>1.01</v>
      </c>
      <c r="F40" s="14">
        <v>0.71</v>
      </c>
      <c r="G40" s="14">
        <v>0.34</v>
      </c>
      <c r="H40" s="14">
        <v>0.18</v>
      </c>
      <c r="I40" s="14">
        <v>0.11</v>
      </c>
    </row>
    <row r="41" spans="1:9" ht="12.75">
      <c r="A41" s="17">
        <v>28</v>
      </c>
      <c r="B41" s="93">
        <f>'[1]FKT, KT, MKT, KTAR'!D20</f>
        <v>3.05</v>
      </c>
      <c r="C41" s="93">
        <f>'[1]FKT, KT, MKT, KTAR'!E20</f>
        <v>2.29</v>
      </c>
      <c r="D41" s="16">
        <v>1.38</v>
      </c>
      <c r="E41" s="16">
        <v>1.03</v>
      </c>
      <c r="F41" s="16">
        <v>0.73</v>
      </c>
      <c r="G41" s="16">
        <v>0.35</v>
      </c>
      <c r="H41" s="16">
        <v>0.19</v>
      </c>
      <c r="I41" s="16">
        <v>0.11</v>
      </c>
    </row>
    <row r="42" spans="1:9" ht="12.75">
      <c r="A42" s="17">
        <v>29</v>
      </c>
      <c r="B42" s="93">
        <f>'[1]FKT, KT, MKT, KTAR'!D21</f>
        <v>3.14</v>
      </c>
      <c r="C42" s="93">
        <f>'[1]FKT, KT, MKT, KTAR'!E21</f>
        <v>2.36</v>
      </c>
      <c r="D42" s="14">
        <v>1.42</v>
      </c>
      <c r="E42" s="14">
        <v>1.06</v>
      </c>
      <c r="F42" s="14">
        <v>0.75</v>
      </c>
      <c r="G42" s="14">
        <v>0.36</v>
      </c>
      <c r="H42" s="14">
        <v>0.19</v>
      </c>
      <c r="I42" s="14">
        <v>0.11</v>
      </c>
    </row>
    <row r="43" spans="1:9" ht="12.75">
      <c r="A43" s="15">
        <v>30</v>
      </c>
      <c r="B43" s="94">
        <f>'[1]FKT, KT, MKT, KTAR'!D22</f>
        <v>3.24</v>
      </c>
      <c r="C43" s="93">
        <f>'[1]FKT, KT, MKT, KTAR'!E22</f>
        <v>2.43</v>
      </c>
      <c r="D43" s="14">
        <v>1.45</v>
      </c>
      <c r="E43" s="14">
        <v>1.09</v>
      </c>
      <c r="F43" s="14">
        <v>0.77</v>
      </c>
      <c r="G43" s="14">
        <v>0.37</v>
      </c>
      <c r="H43" s="14">
        <v>0.2</v>
      </c>
      <c r="I43" s="14">
        <v>0.12</v>
      </c>
    </row>
    <row r="44" spans="1:9" ht="12.75">
      <c r="A44" s="17">
        <v>31</v>
      </c>
      <c r="B44" s="93">
        <f>'[1]FKT, KT, MKT, KTAR'!D23</f>
        <v>3.34</v>
      </c>
      <c r="C44" s="94">
        <f>'[1]FKT, KT, MKT, KTAR'!E23</f>
        <v>2.5</v>
      </c>
      <c r="D44" s="16">
        <v>1.49</v>
      </c>
      <c r="E44" s="16">
        <v>1.11</v>
      </c>
      <c r="F44" s="16">
        <v>0.79</v>
      </c>
      <c r="G44" s="16">
        <v>0.38</v>
      </c>
      <c r="H44" s="16">
        <v>0.21</v>
      </c>
      <c r="I44" s="16">
        <v>0.12</v>
      </c>
    </row>
    <row r="45" spans="1:9" ht="12.75">
      <c r="A45" s="17">
        <v>32</v>
      </c>
      <c r="B45" s="93">
        <f>'[1]FKT, KT, MKT, KTAR'!D24</f>
        <v>3.44</v>
      </c>
      <c r="C45" s="93">
        <f>'[1]FKT, KT, MKT, KTAR'!E24</f>
        <v>2.58</v>
      </c>
      <c r="D45" s="14">
        <v>1.53</v>
      </c>
      <c r="E45" s="14">
        <v>1.14</v>
      </c>
      <c r="F45" s="14">
        <v>0.81</v>
      </c>
      <c r="G45" s="14">
        <v>0.39</v>
      </c>
      <c r="H45" s="14">
        <v>0.21</v>
      </c>
      <c r="I45" s="14">
        <v>0.12</v>
      </c>
    </row>
    <row r="46" spans="1:9" ht="12.75">
      <c r="A46" s="17">
        <v>33</v>
      </c>
      <c r="B46" s="93">
        <f>'[1]FKT, KT, MKT, KTAR'!D25</f>
        <v>3.55</v>
      </c>
      <c r="C46" s="93">
        <f>'[1]FKT, KT, MKT, KTAR'!E25</f>
        <v>2.65</v>
      </c>
      <c r="D46" s="14">
        <v>1.57</v>
      </c>
      <c r="E46" s="14">
        <v>1.18</v>
      </c>
      <c r="F46" s="14">
        <v>0.84</v>
      </c>
      <c r="G46" s="14">
        <v>0.4</v>
      </c>
      <c r="H46" s="14">
        <v>0.22</v>
      </c>
      <c r="I46" s="14">
        <v>0.12</v>
      </c>
    </row>
    <row r="47" spans="1:9" ht="12.75">
      <c r="A47" s="17">
        <v>34</v>
      </c>
      <c r="B47" s="93">
        <f>'[1]FKT, KT, MKT, KTAR'!D26</f>
        <v>3.65</v>
      </c>
      <c r="C47" s="93">
        <f>'[1]FKT, KT, MKT, KTAR'!E26</f>
        <v>2.73</v>
      </c>
      <c r="D47" s="16">
        <v>1.62</v>
      </c>
      <c r="E47" s="16">
        <v>1.21</v>
      </c>
      <c r="F47" s="16">
        <v>0.86</v>
      </c>
      <c r="G47" s="16">
        <v>0.41</v>
      </c>
      <c r="H47" s="16">
        <v>0.22</v>
      </c>
      <c r="I47" s="16">
        <v>0.13</v>
      </c>
    </row>
    <row r="48" spans="1:9" ht="12.75">
      <c r="A48" s="15">
        <v>35</v>
      </c>
      <c r="B48" s="94">
        <f>'[1]FKT, KT, MKT, KTAR'!D27</f>
        <v>3.76</v>
      </c>
      <c r="C48" s="94">
        <f>'[1]FKT, KT, MKT, KTAR'!E27</f>
        <v>2.81</v>
      </c>
      <c r="D48" s="14">
        <v>1.66</v>
      </c>
      <c r="E48" s="14">
        <v>1.24</v>
      </c>
      <c r="F48" s="14">
        <v>0.88</v>
      </c>
      <c r="G48" s="14">
        <v>0.43</v>
      </c>
      <c r="H48" s="14">
        <v>0.23</v>
      </c>
      <c r="I48" s="14">
        <v>0.13</v>
      </c>
    </row>
    <row r="49" spans="1:9" ht="12.75">
      <c r="A49" s="17">
        <v>36</v>
      </c>
      <c r="B49" s="93">
        <f>'[1]FKT, KT, MKT, KTAR'!D28</f>
        <v>3.87</v>
      </c>
      <c r="C49" s="93">
        <f>'[1]FKT, KT, MKT, KTAR'!E28</f>
        <v>2.89</v>
      </c>
      <c r="D49" s="14">
        <v>1.71</v>
      </c>
      <c r="E49" s="14">
        <v>1.28</v>
      </c>
      <c r="F49" s="14">
        <v>0.91</v>
      </c>
      <c r="G49" s="14">
        <v>0.44</v>
      </c>
      <c r="H49" s="14">
        <v>0.24</v>
      </c>
      <c r="I49" s="14">
        <v>0.14</v>
      </c>
    </row>
    <row r="50" spans="1:9" ht="12.75">
      <c r="A50" s="17">
        <v>37</v>
      </c>
      <c r="B50" s="93">
        <f>'[1]FKT, KT, MKT, KTAR'!D29</f>
        <v>3.99</v>
      </c>
      <c r="C50" s="93">
        <f>'[1]FKT, KT, MKT, KTAR'!E29</f>
        <v>2.97</v>
      </c>
      <c r="D50" s="16">
        <v>1.77</v>
      </c>
      <c r="E50" s="16">
        <v>1.32</v>
      </c>
      <c r="F50" s="16">
        <v>0.94</v>
      </c>
      <c r="G50" s="16">
        <v>0.45</v>
      </c>
      <c r="H50" s="16">
        <v>0.25</v>
      </c>
      <c r="I50" s="16">
        <v>0.14</v>
      </c>
    </row>
    <row r="51" spans="1:9" ht="12.75">
      <c r="A51" s="17">
        <v>38</v>
      </c>
      <c r="B51" s="93">
        <f>'[1]FKT, KT, MKT, KTAR'!D30</f>
        <v>4.1</v>
      </c>
      <c r="C51" s="93">
        <f>'[1]FKT, KT, MKT, KTAR'!E30</f>
        <v>3.06</v>
      </c>
      <c r="D51" s="14">
        <v>1.83</v>
      </c>
      <c r="E51" s="14">
        <v>1.37</v>
      </c>
      <c r="F51" s="14">
        <v>0.97</v>
      </c>
      <c r="G51" s="14">
        <v>0.47</v>
      </c>
      <c r="H51" s="14">
        <v>0.25</v>
      </c>
      <c r="I51" s="14">
        <v>0.15</v>
      </c>
    </row>
    <row r="52" spans="1:10" s="24" customFormat="1" ht="12.75">
      <c r="A52" s="17">
        <v>39</v>
      </c>
      <c r="B52" s="93">
        <f>'[1]FKT, KT, MKT, KTAR'!D31</f>
        <v>4.22</v>
      </c>
      <c r="C52" s="94">
        <f>'[1]FKT, KT, MKT, KTAR'!E31</f>
        <v>3.14</v>
      </c>
      <c r="D52" s="14">
        <v>1.89</v>
      </c>
      <c r="E52" s="14">
        <v>1.41</v>
      </c>
      <c r="F52" s="14">
        <v>1.01</v>
      </c>
      <c r="G52" s="14">
        <v>0.49</v>
      </c>
      <c r="H52" s="14">
        <v>0.26</v>
      </c>
      <c r="I52" s="14">
        <v>0.15</v>
      </c>
      <c r="J52" s="9"/>
    </row>
    <row r="53" spans="1:9" ht="12.75">
      <c r="A53" s="15">
        <v>40</v>
      </c>
      <c r="B53" s="94">
        <f>'[1]FKT, KT, MKT, KTAR'!D32</f>
        <v>4.34</v>
      </c>
      <c r="C53" s="93">
        <f>'[1]FKT, KT, MKT, KTAR'!E32</f>
        <v>3.23</v>
      </c>
      <c r="D53" s="16">
        <v>1.95</v>
      </c>
      <c r="E53" s="16">
        <v>1.46</v>
      </c>
      <c r="F53" s="16">
        <v>1.04</v>
      </c>
      <c r="G53" s="16">
        <v>0.5</v>
      </c>
      <c r="H53" s="16">
        <v>0.27</v>
      </c>
      <c r="I53" s="16">
        <v>0.16</v>
      </c>
    </row>
    <row r="54" spans="1:9" ht="12.75">
      <c r="A54" s="17">
        <v>41</v>
      </c>
      <c r="B54" s="93">
        <f>'[1]FKT, KT, MKT, KTAR'!D33</f>
        <v>4.46</v>
      </c>
      <c r="C54" s="93">
        <f>'[1]FKT, KT, MKT, KTAR'!E33</f>
        <v>3.32</v>
      </c>
      <c r="D54" s="14">
        <v>2.02</v>
      </c>
      <c r="E54" s="14">
        <v>1.51</v>
      </c>
      <c r="F54" s="14">
        <v>1.08</v>
      </c>
      <c r="G54" s="14">
        <v>0.52</v>
      </c>
      <c r="H54" s="14">
        <v>0.28</v>
      </c>
      <c r="I54" s="14">
        <v>0.16</v>
      </c>
    </row>
    <row r="55" spans="1:9" ht="12.75">
      <c r="A55" s="17">
        <v>42</v>
      </c>
      <c r="B55" s="93">
        <f>'[1]FKT, KT, MKT, KTAR'!D34</f>
        <v>4.59</v>
      </c>
      <c r="C55" s="93">
        <f>'[1]FKT, KT, MKT, KTAR'!E34</f>
        <v>3.41</v>
      </c>
      <c r="D55" s="14">
        <v>2.09</v>
      </c>
      <c r="E55" s="14">
        <v>1.56</v>
      </c>
      <c r="F55" s="14">
        <v>1.12</v>
      </c>
      <c r="G55" s="14">
        <v>0.54</v>
      </c>
      <c r="H55" s="14">
        <v>0.29</v>
      </c>
      <c r="I55" s="14">
        <v>0.17</v>
      </c>
    </row>
    <row r="56" spans="1:9" ht="12.75">
      <c r="A56" s="17">
        <v>43</v>
      </c>
      <c r="B56" s="93">
        <f>'[1]FKT, KT, MKT, KTAR'!D35</f>
        <v>4.71</v>
      </c>
      <c r="C56" s="94">
        <f>'[1]FKT, KT, MKT, KTAR'!E35</f>
        <v>3.5</v>
      </c>
      <c r="D56" s="16">
        <v>2.17</v>
      </c>
      <c r="E56" s="16">
        <v>1.62</v>
      </c>
      <c r="F56" s="16">
        <v>1.16</v>
      </c>
      <c r="G56" s="16">
        <v>0.56</v>
      </c>
      <c r="H56" s="16">
        <v>0.3</v>
      </c>
      <c r="I56" s="16">
        <v>0.17</v>
      </c>
    </row>
    <row r="57" spans="1:9" ht="12.75">
      <c r="A57" s="17">
        <v>44</v>
      </c>
      <c r="B57" s="93">
        <f>'[1]FKT, KT, MKT, KTAR'!D36</f>
        <v>4.84</v>
      </c>
      <c r="C57" s="93">
        <f>'[1]FKT, KT, MKT, KTAR'!E36</f>
        <v>3.59</v>
      </c>
      <c r="D57" s="14">
        <v>2.24</v>
      </c>
      <c r="E57" s="14">
        <v>1.68</v>
      </c>
      <c r="F57" s="14">
        <v>1.2</v>
      </c>
      <c r="G57" s="14">
        <v>0.58</v>
      </c>
      <c r="H57" s="14">
        <v>0.32</v>
      </c>
      <c r="I57" s="14">
        <v>0.18</v>
      </c>
    </row>
    <row r="58" spans="1:9" ht="12.75">
      <c r="A58" s="15">
        <v>45</v>
      </c>
      <c r="B58" s="94">
        <f>'[1]FKT, KT, MKT, KTAR'!D37</f>
        <v>4.97</v>
      </c>
      <c r="C58" s="93">
        <f>'[1]FKT, KT, MKT, KTAR'!E37</f>
        <v>3.69</v>
      </c>
      <c r="D58" s="14">
        <v>2.33</v>
      </c>
      <c r="E58" s="14">
        <v>1.74</v>
      </c>
      <c r="F58" s="14">
        <v>1.24</v>
      </c>
      <c r="G58" s="14">
        <v>0.61</v>
      </c>
      <c r="H58" s="14">
        <v>0.33</v>
      </c>
      <c r="I58" s="14">
        <v>0.19</v>
      </c>
    </row>
    <row r="59" spans="1:9" ht="12.75">
      <c r="A59" s="17">
        <v>46</v>
      </c>
      <c r="B59" s="93">
        <f>'[1]FKT, KT, MKT, KTAR'!D38</f>
        <v>5.1</v>
      </c>
      <c r="C59" s="93">
        <f>'[1]FKT, KT, MKT, KTAR'!E38</f>
        <v>3.78</v>
      </c>
      <c r="D59" s="16">
        <v>2.41</v>
      </c>
      <c r="E59" s="16">
        <v>1.8</v>
      </c>
      <c r="F59" s="16">
        <v>1.29</v>
      </c>
      <c r="G59" s="16">
        <v>0.63</v>
      </c>
      <c r="H59" s="16">
        <v>0.34</v>
      </c>
      <c r="I59" s="16">
        <v>0.19</v>
      </c>
    </row>
    <row r="60" spans="1:9" ht="12.75">
      <c r="A60" s="17">
        <v>47</v>
      </c>
      <c r="B60" s="93">
        <f>'[1]FKT, KT, MKT, KTAR'!D39</f>
        <v>5.23</v>
      </c>
      <c r="C60" s="94">
        <f>'[1]FKT, KT, MKT, KTAR'!E39</f>
        <v>3.88</v>
      </c>
      <c r="D60" s="14">
        <v>2.5</v>
      </c>
      <c r="E60" s="14">
        <v>1.87</v>
      </c>
      <c r="F60" s="14">
        <v>1.34</v>
      </c>
      <c r="G60" s="14">
        <v>0.65</v>
      </c>
      <c r="H60" s="14">
        <v>0.35</v>
      </c>
      <c r="I60" s="14">
        <v>0.2</v>
      </c>
    </row>
    <row r="61" spans="1:9" ht="12.75">
      <c r="A61" s="17">
        <v>48</v>
      </c>
      <c r="B61" s="93">
        <f>'[1]FKT, KT, MKT, KTAR'!D40</f>
        <v>5.36</v>
      </c>
      <c r="C61" s="93">
        <f>'[1]FKT, KT, MKT, KTAR'!E40</f>
        <v>3.97</v>
      </c>
      <c r="D61" s="14">
        <v>2.59</v>
      </c>
      <c r="E61" s="14">
        <v>1.94</v>
      </c>
      <c r="F61" s="14">
        <v>1.38</v>
      </c>
      <c r="G61" s="14">
        <v>0.68</v>
      </c>
      <c r="H61" s="14">
        <v>0.36</v>
      </c>
      <c r="I61" s="14">
        <v>0.21</v>
      </c>
    </row>
    <row r="62" spans="1:9" ht="12.75">
      <c r="A62" s="17">
        <v>49</v>
      </c>
      <c r="B62" s="93">
        <f>'[1]FKT, KT, MKT, KTAR'!D41</f>
        <v>5.5</v>
      </c>
      <c r="C62" s="93">
        <f>'[1]FKT, KT, MKT, KTAR'!E41</f>
        <v>4.07</v>
      </c>
      <c r="D62" s="16">
        <v>2.68</v>
      </c>
      <c r="E62" s="16">
        <v>2.01</v>
      </c>
      <c r="F62" s="16">
        <v>1.43</v>
      </c>
      <c r="G62" s="16">
        <v>0.7</v>
      </c>
      <c r="H62" s="16">
        <v>0.38</v>
      </c>
      <c r="I62" s="16">
        <v>0.22</v>
      </c>
    </row>
    <row r="63" spans="1:9" ht="12.75">
      <c r="A63" s="15">
        <v>50</v>
      </c>
      <c r="B63" s="94">
        <f>'[1]FKT, KT, MKT, KTAR'!D42</f>
        <v>5.63</v>
      </c>
      <c r="C63" s="93">
        <f>'[1]FKT, KT, MKT, KTAR'!E42</f>
        <v>4.17</v>
      </c>
      <c r="D63" s="14">
        <v>2.78</v>
      </c>
      <c r="E63" s="14">
        <v>2.08</v>
      </c>
      <c r="F63" s="14">
        <v>1.49</v>
      </c>
      <c r="G63" s="14">
        <v>0.73</v>
      </c>
      <c r="H63" s="14">
        <v>0.39</v>
      </c>
      <c r="I63" s="14">
        <v>0.22</v>
      </c>
    </row>
    <row r="64" spans="1:9" ht="12.75">
      <c r="A64" s="17">
        <v>51</v>
      </c>
      <c r="B64" s="93">
        <f>'[1]FKT, KT, MKT, KTAR'!D43</f>
        <v>5.77</v>
      </c>
      <c r="C64" s="94">
        <f>'[1]FKT, KT, MKT, KTAR'!E43</f>
        <v>4.27</v>
      </c>
      <c r="D64" s="14">
        <v>2.88</v>
      </c>
      <c r="E64" s="14">
        <v>2.16</v>
      </c>
      <c r="F64" s="14">
        <v>1.54</v>
      </c>
      <c r="G64" s="14">
        <v>0.76</v>
      </c>
      <c r="H64" s="14">
        <v>0.41</v>
      </c>
      <c r="I64" s="14">
        <v>0.23</v>
      </c>
    </row>
    <row r="65" spans="1:9" ht="12.75">
      <c r="A65" s="17">
        <v>52</v>
      </c>
      <c r="B65" s="93">
        <f>'[1]FKT, KT, MKT, KTAR'!D44</f>
        <v>5.91</v>
      </c>
      <c r="C65" s="93">
        <f>'[1]FKT, KT, MKT, KTAR'!E44</f>
        <v>4.37</v>
      </c>
      <c r="D65" s="16">
        <v>2.99</v>
      </c>
      <c r="E65" s="16">
        <v>2.24</v>
      </c>
      <c r="F65" s="16">
        <v>1.6</v>
      </c>
      <c r="G65" s="16">
        <v>0.79</v>
      </c>
      <c r="H65" s="16">
        <v>0.42</v>
      </c>
      <c r="I65" s="16">
        <v>0.24</v>
      </c>
    </row>
    <row r="66" spans="1:9" ht="12.75">
      <c r="A66" s="17">
        <v>53</v>
      </c>
      <c r="B66" s="93">
        <f>'[1]FKT, KT, MKT, KTAR'!D45</f>
        <v>6.05</v>
      </c>
      <c r="C66" s="93">
        <f>'[1]FKT, KT, MKT, KTAR'!E45</f>
        <v>4.47</v>
      </c>
      <c r="D66" s="14">
        <v>3.1</v>
      </c>
      <c r="E66" s="14">
        <v>2.32</v>
      </c>
      <c r="F66" s="14">
        <v>1.66</v>
      </c>
      <c r="G66" s="14">
        <v>0.82</v>
      </c>
      <c r="H66" s="14">
        <v>0.44</v>
      </c>
      <c r="I66" s="14">
        <v>0.25</v>
      </c>
    </row>
    <row r="67" spans="1:9" ht="12.75">
      <c r="A67" s="17">
        <v>54</v>
      </c>
      <c r="B67" s="93">
        <f>'[1]FKT, KT, MKT, KTAR'!D46</f>
        <v>6.19</v>
      </c>
      <c r="C67" s="93">
        <f>'[1]FKT, KT, MKT, KTAR'!E46</f>
        <v>4.58</v>
      </c>
      <c r="D67" s="14">
        <v>3.21</v>
      </c>
      <c r="E67" s="14">
        <v>2.4</v>
      </c>
      <c r="F67" s="14">
        <v>1.72</v>
      </c>
      <c r="G67" s="14">
        <v>0.85</v>
      </c>
      <c r="H67" s="14">
        <v>0.46</v>
      </c>
      <c r="I67" s="14">
        <v>0.26</v>
      </c>
    </row>
    <row r="68" spans="1:9" ht="12.75">
      <c r="A68" s="15">
        <v>55</v>
      </c>
      <c r="B68" s="94">
        <f>'[1]FKT, KT, MKT, KTAR'!D47</f>
        <v>6.33</v>
      </c>
      <c r="C68" s="94">
        <f>'[1]FKT, KT, MKT, KTAR'!E47</f>
        <v>4.68</v>
      </c>
      <c r="D68" s="16">
        <v>3.32</v>
      </c>
      <c r="E68" s="16">
        <v>2.49</v>
      </c>
      <c r="F68" s="16">
        <v>1.78</v>
      </c>
      <c r="G68" s="16">
        <v>0.88</v>
      </c>
      <c r="H68" s="16">
        <v>0.47</v>
      </c>
      <c r="I68" s="16">
        <v>0.27</v>
      </c>
    </row>
    <row r="69" spans="1:9" ht="12.75">
      <c r="A69" s="17">
        <v>56</v>
      </c>
      <c r="B69" s="93">
        <f>'[1]FKT, KT, MKT, KTAR'!D48</f>
        <v>6.47</v>
      </c>
      <c r="C69" s="93">
        <f>'[1]FKT, KT, MKT, KTAR'!E48</f>
        <v>4.78</v>
      </c>
      <c r="D69" s="14">
        <v>3.44</v>
      </c>
      <c r="E69" s="14">
        <v>2.58</v>
      </c>
      <c r="F69" s="14">
        <v>1.84</v>
      </c>
      <c r="G69" s="14">
        <v>0.91</v>
      </c>
      <c r="H69" s="14">
        <v>0.49</v>
      </c>
      <c r="I69" s="14">
        <v>0.28</v>
      </c>
    </row>
    <row r="70" spans="1:9" ht="12.75">
      <c r="A70" s="17">
        <v>57</v>
      </c>
      <c r="B70" s="93">
        <f>'[1]FKT, KT, MKT, KTAR'!D49</f>
        <v>6.61</v>
      </c>
      <c r="C70" s="93">
        <f>'[1]FKT, KT, MKT, KTAR'!E49</f>
        <v>4.88</v>
      </c>
      <c r="D70" s="14">
        <v>3.56</v>
      </c>
      <c r="E70" s="14">
        <v>2.66</v>
      </c>
      <c r="F70" s="14">
        <v>1.91</v>
      </c>
      <c r="G70" s="14">
        <v>0.94</v>
      </c>
      <c r="H70" s="14">
        <v>0.51</v>
      </c>
      <c r="I70" s="14">
        <v>0.29</v>
      </c>
    </row>
    <row r="71" spans="1:9" ht="12.75">
      <c r="A71" s="17">
        <v>58</v>
      </c>
      <c r="B71" s="93">
        <f>'[1]FKT, KT, MKT, KTAR'!D50</f>
        <v>6.74</v>
      </c>
      <c r="C71" s="93">
        <f>'[1]FKT, KT, MKT, KTAR'!E50</f>
        <v>4.98</v>
      </c>
      <c r="D71" s="16">
        <v>3.62</v>
      </c>
      <c r="E71" s="16">
        <v>2.71</v>
      </c>
      <c r="F71" s="16">
        <v>1.94</v>
      </c>
      <c r="G71" s="16">
        <v>0.96</v>
      </c>
      <c r="H71" s="16">
        <v>0.52</v>
      </c>
      <c r="I71" s="16">
        <v>0.29</v>
      </c>
    </row>
    <row r="72" spans="1:9" ht="12.75">
      <c r="A72" s="17">
        <v>59</v>
      </c>
      <c r="B72" s="93">
        <f>'[1]FKT, KT, MKT, KTAR'!D51</f>
        <v>6.77</v>
      </c>
      <c r="C72" s="94">
        <f>'[1]FKT, KT, MKT, KTAR'!E51</f>
        <v>4.99</v>
      </c>
      <c r="D72" s="14">
        <v>3.65</v>
      </c>
      <c r="E72" s="14">
        <v>2.73</v>
      </c>
      <c r="F72" s="14">
        <v>1.95</v>
      </c>
      <c r="G72" s="14">
        <v>0.97</v>
      </c>
      <c r="H72" s="14">
        <v>0.52</v>
      </c>
      <c r="I72" s="14">
        <v>0.3</v>
      </c>
    </row>
    <row r="73" spans="1:9" ht="12.75">
      <c r="A73" s="15">
        <v>60</v>
      </c>
      <c r="B73" s="94">
        <f>'[1]FKT, KT, MKT, KTAR'!D52</f>
        <v>6.78</v>
      </c>
      <c r="C73" s="93">
        <f>'[1]FKT, KT, MKT, KTAR'!E52</f>
        <v>5</v>
      </c>
      <c r="D73" s="14">
        <v>3.65</v>
      </c>
      <c r="E73" s="14">
        <v>2.73</v>
      </c>
      <c r="F73" s="14">
        <v>1.95</v>
      </c>
      <c r="G73" s="14">
        <v>0.97</v>
      </c>
      <c r="H73" s="14">
        <v>0.52</v>
      </c>
      <c r="I73" s="14">
        <v>0.3</v>
      </c>
    </row>
    <row r="74" spans="1:9" ht="12.75">
      <c r="A74" s="17">
        <v>61</v>
      </c>
      <c r="B74" s="93">
        <f>'[1]FKT, KT, MKT, KTAR'!D53</f>
        <v>6.78</v>
      </c>
      <c r="C74" s="93">
        <f>'[1]FKT, KT, MKT, KTAR'!E53</f>
        <v>5</v>
      </c>
      <c r="D74" s="16">
        <v>3.66</v>
      </c>
      <c r="E74" s="16">
        <v>2.74</v>
      </c>
      <c r="F74" s="16">
        <v>1.96</v>
      </c>
      <c r="G74" s="16">
        <v>0.98</v>
      </c>
      <c r="H74" s="16">
        <v>0.52</v>
      </c>
      <c r="I74" s="16">
        <v>0.3</v>
      </c>
    </row>
    <row r="75" spans="1:9" ht="12.75">
      <c r="A75" s="17">
        <v>62</v>
      </c>
      <c r="B75" s="93">
        <f>'[1]FKT, KT, MKT, KTAR'!D54</f>
        <v>6.79</v>
      </c>
      <c r="C75" s="93">
        <f>'[1]FKT, KT, MKT, KTAR'!E54</f>
        <v>5.01</v>
      </c>
      <c r="D75" s="14">
        <v>3.68</v>
      </c>
      <c r="E75" s="14">
        <v>2.76</v>
      </c>
      <c r="F75" s="14">
        <v>1.97</v>
      </c>
      <c r="G75" s="14">
        <v>0.98</v>
      </c>
      <c r="H75" s="14">
        <v>0.53</v>
      </c>
      <c r="I75" s="14">
        <v>0.3</v>
      </c>
    </row>
    <row r="76" spans="1:9" ht="12.75">
      <c r="A76" s="17">
        <v>63</v>
      </c>
      <c r="B76" s="93">
        <f>'[1]FKT, KT, MKT, KTAR'!D55</f>
        <v>6.79</v>
      </c>
      <c r="C76" s="94">
        <f>'[1]FKT, KT, MKT, KTAR'!E55</f>
        <v>5.01</v>
      </c>
      <c r="D76" s="14">
        <v>3.72</v>
      </c>
      <c r="E76" s="14">
        <v>2.79</v>
      </c>
      <c r="F76" s="14">
        <v>1.99</v>
      </c>
      <c r="G76" s="14">
        <v>0.99</v>
      </c>
      <c r="H76" s="14">
        <v>0.53</v>
      </c>
      <c r="I76" s="14">
        <v>0.3</v>
      </c>
    </row>
    <row r="77" spans="1:9" ht="12.75">
      <c r="A77" s="17">
        <v>64</v>
      </c>
      <c r="B77" s="93">
        <f>'[1]FKT, KT, MKT, KTAR'!D56</f>
        <v>6.79</v>
      </c>
      <c r="C77" s="93">
        <f>'[1]FKT, KT, MKT, KTAR'!E56</f>
        <v>5.01</v>
      </c>
      <c r="D77" s="16">
        <v>3.73</v>
      </c>
      <c r="E77" s="16">
        <v>2.79</v>
      </c>
      <c r="F77" s="16">
        <v>2</v>
      </c>
      <c r="G77" s="16">
        <v>0.99</v>
      </c>
      <c r="H77" s="16">
        <v>0.53</v>
      </c>
      <c r="I77" s="16">
        <v>0.3</v>
      </c>
    </row>
    <row r="78" spans="1:9" ht="12.75">
      <c r="A78" s="11">
        <v>5</v>
      </c>
      <c r="B78" s="12" t="s">
        <v>54</v>
      </c>
      <c r="C78" s="12" t="s">
        <v>55</v>
      </c>
      <c r="D78" s="12" t="s">
        <v>29</v>
      </c>
      <c r="E78" s="12" t="s">
        <v>30</v>
      </c>
      <c r="F78" s="12" t="s">
        <v>31</v>
      </c>
      <c r="G78" s="12" t="s">
        <v>32</v>
      </c>
      <c r="H78" s="12" t="s">
        <v>33</v>
      </c>
      <c r="I78" s="12" t="s">
        <v>34</v>
      </c>
    </row>
    <row r="79" spans="1:10" ht="12.75">
      <c r="A79" s="21" t="s">
        <v>56</v>
      </c>
      <c r="B79" s="23" t="s">
        <v>123</v>
      </c>
      <c r="C79" s="23" t="s">
        <v>123</v>
      </c>
      <c r="D79" s="23" t="s">
        <v>111</v>
      </c>
      <c r="E79" s="23" t="s">
        <v>111</v>
      </c>
      <c r="F79" s="23" t="s">
        <v>111</v>
      </c>
      <c r="G79" s="23" t="s">
        <v>111</v>
      </c>
      <c r="H79" s="23" t="s">
        <v>111</v>
      </c>
      <c r="I79" s="23" t="s">
        <v>111</v>
      </c>
      <c r="J79" s="24"/>
    </row>
    <row r="80" spans="1:9" ht="12.75">
      <c r="A80" s="25" t="s">
        <v>58</v>
      </c>
      <c r="B80" s="26" t="s">
        <v>59</v>
      </c>
      <c r="C80" s="26" t="s">
        <v>59</v>
      </c>
      <c r="D80" s="26" t="s">
        <v>59</v>
      </c>
      <c r="E80" s="26" t="s">
        <v>59</v>
      </c>
      <c r="F80" s="26" t="s">
        <v>59</v>
      </c>
      <c r="G80" s="26" t="s">
        <v>59</v>
      </c>
      <c r="H80" s="26" t="s">
        <v>59</v>
      </c>
      <c r="I80" s="26" t="s">
        <v>59</v>
      </c>
    </row>
  </sheetData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8"/>
  <dimension ref="A1:J80"/>
  <sheetViews>
    <sheetView workbookViewId="0" topLeftCell="A53">
      <selection activeCell="E85" sqref="E85"/>
    </sheetView>
  </sheetViews>
  <sheetFormatPr defaultColWidth="11.421875" defaultRowHeight="12.75"/>
  <cols>
    <col min="1" max="1" width="9.8515625" style="18" customWidth="1"/>
    <col min="2" max="10" width="12.140625" style="10" customWidth="1"/>
    <col min="11" max="16384" width="11.421875" style="9" customWidth="1"/>
  </cols>
  <sheetData>
    <row r="1" spans="1:10" ht="12.75">
      <c r="A1" s="13"/>
      <c r="B1" s="98"/>
      <c r="C1" s="98"/>
      <c r="D1" s="98"/>
      <c r="E1" s="98"/>
      <c r="F1" s="98"/>
      <c r="G1" s="98"/>
      <c r="H1" s="98"/>
      <c r="I1" s="98"/>
      <c r="J1" s="98"/>
    </row>
    <row r="2" spans="1:10" ht="12.75">
      <c r="A2" s="13"/>
      <c r="B2" s="98"/>
      <c r="C2" s="98"/>
      <c r="D2" s="98"/>
      <c r="E2" s="98"/>
      <c r="F2" s="98"/>
      <c r="G2" s="98"/>
      <c r="H2" s="98"/>
      <c r="I2" s="98"/>
      <c r="J2" s="98"/>
    </row>
    <row r="3" spans="1:10" ht="12.75">
      <c r="A3" s="13"/>
      <c r="B3" s="98"/>
      <c r="C3" s="98"/>
      <c r="D3" s="98"/>
      <c r="E3" s="98"/>
      <c r="F3" s="98"/>
      <c r="G3" s="98"/>
      <c r="H3" s="98"/>
      <c r="I3" s="98"/>
      <c r="J3" s="98"/>
    </row>
    <row r="4" spans="1:10" ht="12.75">
      <c r="A4" s="13"/>
      <c r="B4" s="98"/>
      <c r="C4" s="98"/>
      <c r="D4" s="98"/>
      <c r="E4" s="98"/>
      <c r="F4" s="98"/>
      <c r="G4" s="98"/>
      <c r="H4" s="98"/>
      <c r="I4" s="98"/>
      <c r="J4" s="98"/>
    </row>
    <row r="5" spans="1:10" ht="12.75">
      <c r="A5" s="13"/>
      <c r="B5" s="98"/>
      <c r="C5" s="98"/>
      <c r="D5" s="98"/>
      <c r="E5" s="98"/>
      <c r="F5" s="98"/>
      <c r="G5" s="98"/>
      <c r="H5" s="98"/>
      <c r="I5" s="98"/>
      <c r="J5" s="98"/>
    </row>
    <row r="6" spans="1:10" ht="12.75">
      <c r="A6" s="15"/>
      <c r="B6" s="99"/>
      <c r="C6" s="99"/>
      <c r="D6" s="99"/>
      <c r="E6" s="99"/>
      <c r="F6" s="99"/>
      <c r="G6" s="99"/>
      <c r="H6" s="99"/>
      <c r="I6" s="99"/>
      <c r="J6" s="99"/>
    </row>
    <row r="7" spans="1:10" ht="12.75">
      <c r="A7" s="17"/>
      <c r="B7" s="98"/>
      <c r="C7" s="98"/>
      <c r="D7" s="98"/>
      <c r="E7" s="98"/>
      <c r="F7" s="98"/>
      <c r="G7" s="98"/>
      <c r="H7" s="98"/>
      <c r="I7" s="98"/>
      <c r="J7" s="98"/>
    </row>
    <row r="8" spans="1:10" ht="12.75">
      <c r="A8" s="17"/>
      <c r="B8" s="98"/>
      <c r="C8" s="98"/>
      <c r="D8" s="98"/>
      <c r="E8" s="98"/>
      <c r="F8" s="98"/>
      <c r="G8" s="98"/>
      <c r="H8" s="98"/>
      <c r="I8" s="98"/>
      <c r="J8" s="98"/>
    </row>
    <row r="9" spans="1:10" ht="12.75">
      <c r="A9" s="17"/>
      <c r="B9" s="98"/>
      <c r="C9" s="98"/>
      <c r="D9" s="98"/>
      <c r="E9" s="98"/>
      <c r="F9" s="98"/>
      <c r="G9" s="98"/>
      <c r="H9" s="98"/>
      <c r="I9" s="98"/>
      <c r="J9" s="98"/>
    </row>
    <row r="10" spans="1:10" ht="12.75">
      <c r="A10" s="17"/>
      <c r="B10" s="98"/>
      <c r="C10" s="98"/>
      <c r="D10" s="98"/>
      <c r="E10" s="98"/>
      <c r="F10" s="98"/>
      <c r="G10" s="98"/>
      <c r="H10" s="98"/>
      <c r="I10" s="98"/>
      <c r="J10" s="98"/>
    </row>
    <row r="11" spans="1:10" ht="12.75">
      <c r="A11" s="15"/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12.75">
      <c r="A12" s="17"/>
      <c r="B12" s="98"/>
      <c r="C12" s="98"/>
      <c r="D12" s="98"/>
      <c r="E12" s="98"/>
      <c r="F12" s="98"/>
      <c r="G12" s="98"/>
      <c r="H12" s="98"/>
      <c r="I12" s="98"/>
      <c r="J12" s="98"/>
    </row>
    <row r="13" spans="1:10" ht="12.75">
      <c r="A13" s="17"/>
      <c r="B13" s="98"/>
      <c r="C13" s="98"/>
      <c r="D13" s="98"/>
      <c r="E13" s="98"/>
      <c r="F13" s="98"/>
      <c r="G13" s="98"/>
      <c r="H13" s="98"/>
      <c r="I13" s="98"/>
      <c r="J13" s="98"/>
    </row>
    <row r="14" spans="1:10" ht="12.75">
      <c r="A14" s="17"/>
      <c r="B14" s="98"/>
      <c r="C14" s="98"/>
      <c r="D14" s="98"/>
      <c r="E14" s="98"/>
      <c r="F14" s="98"/>
      <c r="G14" s="98"/>
      <c r="H14" s="98"/>
      <c r="I14" s="98"/>
      <c r="J14" s="98"/>
    </row>
    <row r="15" spans="1:10" ht="12.75">
      <c r="A15" s="17"/>
      <c r="B15" s="98"/>
      <c r="C15" s="98"/>
      <c r="D15" s="98"/>
      <c r="E15" s="98"/>
      <c r="F15" s="98"/>
      <c r="G15" s="98"/>
      <c r="H15" s="98"/>
      <c r="I15" s="98"/>
      <c r="J15" s="98"/>
    </row>
    <row r="16" spans="1:10" ht="12.75">
      <c r="A16" s="15"/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2.75">
      <c r="A17" s="17"/>
      <c r="B17" s="98"/>
      <c r="C17" s="98"/>
      <c r="D17" s="98"/>
      <c r="E17" s="98"/>
      <c r="F17" s="98"/>
      <c r="G17" s="98"/>
      <c r="H17" s="98"/>
      <c r="I17" s="98"/>
      <c r="J17" s="98"/>
    </row>
    <row r="18" spans="1:10" ht="12.75">
      <c r="A18" s="17"/>
      <c r="B18" s="98"/>
      <c r="C18" s="98"/>
      <c r="D18" s="98"/>
      <c r="E18" s="98"/>
      <c r="F18" s="98"/>
      <c r="G18" s="98"/>
      <c r="H18" s="98"/>
      <c r="I18" s="98"/>
      <c r="J18" s="98"/>
    </row>
    <row r="19" spans="1:10" ht="12.75">
      <c r="A19" s="17"/>
      <c r="B19" s="98"/>
      <c r="C19" s="98"/>
      <c r="D19" s="98"/>
      <c r="E19" s="98"/>
      <c r="F19" s="98"/>
      <c r="G19" s="98"/>
      <c r="H19" s="98"/>
      <c r="I19" s="98"/>
      <c r="J19" s="98"/>
    </row>
    <row r="20" spans="1:10" ht="12.75">
      <c r="A20" s="17"/>
      <c r="B20" s="98"/>
      <c r="C20" s="98"/>
      <c r="D20" s="98"/>
      <c r="E20" s="98"/>
      <c r="F20" s="98"/>
      <c r="G20" s="98"/>
      <c r="H20" s="98"/>
      <c r="I20" s="98"/>
      <c r="J20" s="98"/>
    </row>
    <row r="21" spans="1:10" ht="12.75">
      <c r="A21" s="15"/>
      <c r="B21" s="99"/>
      <c r="C21" s="99"/>
      <c r="D21" s="99"/>
      <c r="E21" s="99"/>
      <c r="F21" s="99"/>
      <c r="G21" s="99"/>
      <c r="H21" s="99"/>
      <c r="I21" s="99"/>
      <c r="J21" s="99"/>
    </row>
    <row r="22" spans="1:10" ht="12.75">
      <c r="A22" s="17"/>
      <c r="B22" s="98"/>
      <c r="C22" s="98"/>
      <c r="D22" s="98"/>
      <c r="E22" s="98"/>
      <c r="F22" s="98"/>
      <c r="G22" s="98"/>
      <c r="H22" s="98"/>
      <c r="I22" s="98"/>
      <c r="J22" s="98"/>
    </row>
    <row r="23" spans="1:10" ht="12.75">
      <c r="A23" s="17"/>
      <c r="B23" s="98"/>
      <c r="C23" s="98"/>
      <c r="D23" s="98"/>
      <c r="E23" s="98"/>
      <c r="F23" s="98"/>
      <c r="G23" s="98"/>
      <c r="H23" s="98"/>
      <c r="I23" s="98"/>
      <c r="J23" s="98"/>
    </row>
    <row r="24" spans="1:10" ht="12.75">
      <c r="A24" s="17"/>
      <c r="B24" s="98"/>
      <c r="C24" s="98"/>
      <c r="D24" s="98"/>
      <c r="E24" s="98"/>
      <c r="F24" s="98"/>
      <c r="G24" s="98"/>
      <c r="H24" s="98"/>
      <c r="I24" s="98"/>
      <c r="J24" s="98"/>
    </row>
    <row r="25" spans="1:10" ht="12.75">
      <c r="A25" s="17"/>
      <c r="B25" s="98"/>
      <c r="C25" s="98"/>
      <c r="D25" s="98"/>
      <c r="E25" s="98"/>
      <c r="F25" s="98"/>
      <c r="G25" s="98"/>
      <c r="H25" s="98"/>
      <c r="I25" s="98"/>
      <c r="J25" s="98"/>
    </row>
    <row r="26" spans="1:10" ht="12.75">
      <c r="A26" s="15"/>
      <c r="B26" s="99"/>
      <c r="C26" s="99"/>
      <c r="D26" s="99"/>
      <c r="E26" s="99"/>
      <c r="F26" s="99"/>
      <c r="G26" s="99"/>
      <c r="H26" s="99"/>
      <c r="I26" s="99"/>
      <c r="J26" s="99"/>
    </row>
    <row r="27" spans="1:10" ht="12.75">
      <c r="A27" s="17"/>
      <c r="B27" s="98"/>
      <c r="C27" s="98"/>
      <c r="D27" s="98"/>
      <c r="E27" s="98"/>
      <c r="F27" s="98"/>
      <c r="G27" s="98"/>
      <c r="H27" s="98"/>
      <c r="I27" s="98"/>
      <c r="J27" s="98"/>
    </row>
    <row r="28" spans="1:10" ht="12.75">
      <c r="A28" s="13">
        <v>15</v>
      </c>
      <c r="B28" s="98">
        <v>1.29</v>
      </c>
      <c r="C28" s="98">
        <v>0.93</v>
      </c>
      <c r="D28" s="98">
        <v>0.81</v>
      </c>
      <c r="E28" s="98">
        <v>0.9</v>
      </c>
      <c r="F28" s="98">
        <v>0.78</v>
      </c>
      <c r="G28" s="98">
        <v>0.57</v>
      </c>
      <c r="H28" s="98">
        <v>0.28</v>
      </c>
      <c r="I28" s="98">
        <v>0.15</v>
      </c>
      <c r="J28" s="98">
        <v>0.09</v>
      </c>
    </row>
    <row r="29" spans="1:10" ht="12.75">
      <c r="A29" s="13">
        <v>16</v>
      </c>
      <c r="B29" s="98">
        <v>1.31</v>
      </c>
      <c r="C29" s="98">
        <v>0.95</v>
      </c>
      <c r="D29" s="98">
        <v>0.83</v>
      </c>
      <c r="E29" s="98">
        <v>0.93</v>
      </c>
      <c r="F29" s="98">
        <v>0.8</v>
      </c>
      <c r="G29" s="98">
        <v>0.59</v>
      </c>
      <c r="H29" s="98">
        <v>0.29</v>
      </c>
      <c r="I29" s="98">
        <v>0.16</v>
      </c>
      <c r="J29" s="98">
        <v>0.09</v>
      </c>
    </row>
    <row r="30" spans="1:10" ht="12.75">
      <c r="A30" s="13">
        <v>17</v>
      </c>
      <c r="B30" s="98">
        <v>1.34</v>
      </c>
      <c r="C30" s="98">
        <v>0.97</v>
      </c>
      <c r="D30" s="98">
        <v>0.85</v>
      </c>
      <c r="E30" s="98">
        <v>0.97</v>
      </c>
      <c r="F30" s="98">
        <v>0.82</v>
      </c>
      <c r="G30" s="98">
        <v>0.61</v>
      </c>
      <c r="H30" s="98">
        <v>0.3</v>
      </c>
      <c r="I30" s="98">
        <v>0.16</v>
      </c>
      <c r="J30" s="98">
        <v>0.09</v>
      </c>
    </row>
    <row r="31" spans="1:10" ht="12.75">
      <c r="A31" s="13">
        <v>18</v>
      </c>
      <c r="B31" s="98">
        <v>1.37</v>
      </c>
      <c r="C31" s="98">
        <v>0.99</v>
      </c>
      <c r="D31" s="98">
        <v>0.87</v>
      </c>
      <c r="E31" s="98">
        <v>1</v>
      </c>
      <c r="F31" s="98">
        <v>0.85</v>
      </c>
      <c r="G31" s="98">
        <v>0.62</v>
      </c>
      <c r="H31" s="98">
        <v>0.31</v>
      </c>
      <c r="I31" s="98">
        <v>0.16</v>
      </c>
      <c r="J31" s="98">
        <v>0.1</v>
      </c>
    </row>
    <row r="32" spans="1:10" ht="12.75">
      <c r="A32" s="13">
        <v>19</v>
      </c>
      <c r="B32" s="98">
        <v>1.4</v>
      </c>
      <c r="C32" s="98">
        <v>1.02</v>
      </c>
      <c r="D32" s="98">
        <v>0.89</v>
      </c>
      <c r="E32" s="98">
        <v>1.04</v>
      </c>
      <c r="F32" s="98">
        <v>0.87</v>
      </c>
      <c r="G32" s="98">
        <v>0.64</v>
      </c>
      <c r="H32" s="98">
        <v>0.31</v>
      </c>
      <c r="I32" s="98">
        <v>0.17</v>
      </c>
      <c r="J32" s="98">
        <v>0.1</v>
      </c>
    </row>
    <row r="33" spans="1:10" ht="12.75">
      <c r="A33" s="15">
        <v>20</v>
      </c>
      <c r="B33" s="99">
        <v>1.43</v>
      </c>
      <c r="C33" s="99">
        <v>1.04</v>
      </c>
      <c r="D33" s="99">
        <v>0.91</v>
      </c>
      <c r="E33" s="99">
        <v>1.07</v>
      </c>
      <c r="F33" s="99">
        <v>0.9</v>
      </c>
      <c r="G33" s="99">
        <v>0.66</v>
      </c>
      <c r="H33" s="99">
        <v>0.32</v>
      </c>
      <c r="I33" s="99">
        <v>0.17</v>
      </c>
      <c r="J33" s="99">
        <v>0.1</v>
      </c>
    </row>
    <row r="34" spans="1:10" ht="12.75">
      <c r="A34" s="17">
        <v>21</v>
      </c>
      <c r="B34" s="98">
        <v>1.46</v>
      </c>
      <c r="C34" s="98">
        <v>1.07</v>
      </c>
      <c r="D34" s="98">
        <v>0.94</v>
      </c>
      <c r="E34" s="98">
        <v>1.1</v>
      </c>
      <c r="F34" s="98">
        <v>0.93</v>
      </c>
      <c r="G34" s="98">
        <v>0.68</v>
      </c>
      <c r="H34" s="98">
        <v>0.33</v>
      </c>
      <c r="I34" s="98">
        <v>0.18</v>
      </c>
      <c r="J34" s="98">
        <v>0.1</v>
      </c>
    </row>
    <row r="35" spans="1:10" ht="12.75">
      <c r="A35" s="17">
        <v>22</v>
      </c>
      <c r="B35" s="98">
        <v>1.49</v>
      </c>
      <c r="C35" s="98">
        <v>1.1</v>
      </c>
      <c r="D35" s="98">
        <v>0.96</v>
      </c>
      <c r="E35" s="98">
        <v>1.14</v>
      </c>
      <c r="F35" s="98">
        <v>0.96</v>
      </c>
      <c r="G35" s="98">
        <v>0.7</v>
      </c>
      <c r="H35" s="98">
        <v>0.34</v>
      </c>
      <c r="I35" s="98">
        <v>0.18</v>
      </c>
      <c r="J35" s="98">
        <v>0.11</v>
      </c>
    </row>
    <row r="36" spans="1:10" ht="12.75">
      <c r="A36" s="17">
        <v>23</v>
      </c>
      <c r="B36" s="98">
        <v>1.53</v>
      </c>
      <c r="C36" s="98">
        <v>1.12</v>
      </c>
      <c r="D36" s="98">
        <v>0.99</v>
      </c>
      <c r="E36" s="98">
        <v>1.17</v>
      </c>
      <c r="F36" s="98">
        <v>0.98</v>
      </c>
      <c r="G36" s="98">
        <v>0.72</v>
      </c>
      <c r="H36" s="98">
        <v>0.35</v>
      </c>
      <c r="I36" s="98">
        <v>0.19</v>
      </c>
      <c r="J36" s="98">
        <v>0.11</v>
      </c>
    </row>
    <row r="37" spans="1:10" ht="12.75">
      <c r="A37" s="17">
        <v>24</v>
      </c>
      <c r="B37" s="98">
        <v>1.56</v>
      </c>
      <c r="C37" s="98">
        <v>1.15</v>
      </c>
      <c r="D37" s="98">
        <v>1.01</v>
      </c>
      <c r="E37" s="98">
        <v>1.21</v>
      </c>
      <c r="F37" s="98">
        <v>1.01</v>
      </c>
      <c r="G37" s="98">
        <v>0.75</v>
      </c>
      <c r="H37" s="98">
        <v>0.36</v>
      </c>
      <c r="I37" s="98">
        <v>0.2</v>
      </c>
      <c r="J37" s="98">
        <v>0.11</v>
      </c>
    </row>
    <row r="38" spans="1:10" ht="12.75">
      <c r="A38" s="15">
        <v>25</v>
      </c>
      <c r="B38" s="99">
        <v>1.6</v>
      </c>
      <c r="C38" s="99">
        <v>1.19</v>
      </c>
      <c r="D38" s="99">
        <v>1.04</v>
      </c>
      <c r="E38" s="99">
        <v>1.24</v>
      </c>
      <c r="F38" s="99">
        <v>1.04</v>
      </c>
      <c r="G38" s="99">
        <v>0.77</v>
      </c>
      <c r="H38" s="99">
        <v>0.37</v>
      </c>
      <c r="I38" s="99">
        <v>0.2</v>
      </c>
      <c r="J38" s="99">
        <v>0.12</v>
      </c>
    </row>
    <row r="39" spans="1:10" ht="12.75">
      <c r="A39" s="17">
        <v>26</v>
      </c>
      <c r="B39" s="98">
        <v>1.63</v>
      </c>
      <c r="C39" s="98">
        <v>1.22</v>
      </c>
      <c r="D39" s="98">
        <v>1.07</v>
      </c>
      <c r="E39" s="98">
        <v>1.27</v>
      </c>
      <c r="F39" s="98">
        <v>1.08</v>
      </c>
      <c r="G39" s="98">
        <v>0.79</v>
      </c>
      <c r="H39" s="98">
        <v>0.38</v>
      </c>
      <c r="I39" s="98">
        <v>0.21</v>
      </c>
      <c r="J39" s="98">
        <v>0.12</v>
      </c>
    </row>
    <row r="40" spans="1:10" ht="12.75">
      <c r="A40" s="17">
        <v>27</v>
      </c>
      <c r="B40" s="98">
        <v>1.67</v>
      </c>
      <c r="C40" s="98">
        <v>1.25</v>
      </c>
      <c r="D40" s="98">
        <v>1.1</v>
      </c>
      <c r="E40" s="98">
        <v>1.31</v>
      </c>
      <c r="F40" s="98">
        <v>1.11</v>
      </c>
      <c r="G40" s="98">
        <v>0.82</v>
      </c>
      <c r="H40" s="98">
        <v>0.39</v>
      </c>
      <c r="I40" s="98">
        <v>0.21</v>
      </c>
      <c r="J40" s="98">
        <v>0.12</v>
      </c>
    </row>
    <row r="41" spans="1:10" ht="12.75">
      <c r="A41" s="17">
        <v>28</v>
      </c>
      <c r="B41" s="98">
        <v>1.71</v>
      </c>
      <c r="C41" s="98">
        <v>1.28</v>
      </c>
      <c r="D41" s="98">
        <v>1.13</v>
      </c>
      <c r="E41" s="98">
        <v>1.35</v>
      </c>
      <c r="F41" s="98">
        <v>1.14</v>
      </c>
      <c r="G41" s="98">
        <v>0.84</v>
      </c>
      <c r="H41" s="98">
        <v>0.41</v>
      </c>
      <c r="I41" s="98">
        <v>0.22</v>
      </c>
      <c r="J41" s="98">
        <v>0.13</v>
      </c>
    </row>
    <row r="42" spans="1:10" ht="12.75">
      <c r="A42" s="17">
        <v>29</v>
      </c>
      <c r="B42" s="98">
        <v>1.75</v>
      </c>
      <c r="C42" s="98">
        <v>1.32</v>
      </c>
      <c r="D42" s="98">
        <v>1.16</v>
      </c>
      <c r="E42" s="98">
        <v>1.38</v>
      </c>
      <c r="F42" s="98">
        <v>1.18</v>
      </c>
      <c r="G42" s="98">
        <v>0.87</v>
      </c>
      <c r="H42" s="98">
        <v>0.42</v>
      </c>
      <c r="I42" s="98">
        <v>0.22</v>
      </c>
      <c r="J42" s="98">
        <v>0.13</v>
      </c>
    </row>
    <row r="43" spans="1:10" ht="12.75">
      <c r="A43" s="15">
        <v>30</v>
      </c>
      <c r="B43" s="99">
        <v>1.8</v>
      </c>
      <c r="C43" s="99">
        <v>1.35</v>
      </c>
      <c r="D43" s="99">
        <v>1.19</v>
      </c>
      <c r="E43" s="99">
        <v>1.42</v>
      </c>
      <c r="F43" s="99">
        <v>1.21</v>
      </c>
      <c r="G43" s="99">
        <v>0.89</v>
      </c>
      <c r="H43" s="99">
        <v>0.43</v>
      </c>
      <c r="I43" s="99">
        <v>0.23</v>
      </c>
      <c r="J43" s="99">
        <v>0.13</v>
      </c>
    </row>
    <row r="44" spans="1:10" ht="12.75">
      <c r="A44" s="17">
        <v>31</v>
      </c>
      <c r="B44" s="98">
        <v>1.83</v>
      </c>
      <c r="C44" s="98">
        <v>1.39</v>
      </c>
      <c r="D44" s="98">
        <v>1.22</v>
      </c>
      <c r="E44" s="98">
        <v>1.46</v>
      </c>
      <c r="F44" s="98">
        <v>1.25</v>
      </c>
      <c r="G44" s="98">
        <v>0.92</v>
      </c>
      <c r="H44" s="98">
        <v>0.44</v>
      </c>
      <c r="I44" s="98">
        <v>0.24</v>
      </c>
      <c r="J44" s="98">
        <v>0.14</v>
      </c>
    </row>
    <row r="45" spans="1:10" ht="12.75">
      <c r="A45" s="17">
        <v>32</v>
      </c>
      <c r="B45" s="98">
        <v>1.87</v>
      </c>
      <c r="C45" s="98">
        <v>1.42</v>
      </c>
      <c r="D45" s="98">
        <v>1.25</v>
      </c>
      <c r="E45" s="98">
        <v>1.5</v>
      </c>
      <c r="F45" s="98">
        <v>1.29</v>
      </c>
      <c r="G45" s="98">
        <v>0.95</v>
      </c>
      <c r="H45" s="98">
        <v>0.46</v>
      </c>
      <c r="I45" s="98">
        <v>0.24</v>
      </c>
      <c r="J45" s="98">
        <v>0.14</v>
      </c>
    </row>
    <row r="46" spans="1:10" ht="12.75">
      <c r="A46" s="17">
        <v>33</v>
      </c>
      <c r="B46" s="98">
        <v>1.91</v>
      </c>
      <c r="C46" s="98">
        <v>1.46</v>
      </c>
      <c r="D46" s="98">
        <v>1.28</v>
      </c>
      <c r="E46" s="98">
        <v>1.53</v>
      </c>
      <c r="F46" s="98">
        <v>1.33</v>
      </c>
      <c r="G46" s="98">
        <v>0.98</v>
      </c>
      <c r="H46" s="98">
        <v>0.47</v>
      </c>
      <c r="I46" s="98">
        <v>0.25</v>
      </c>
      <c r="J46" s="98">
        <v>0.15</v>
      </c>
    </row>
    <row r="47" spans="1:10" ht="12.75">
      <c r="A47" s="17">
        <v>34</v>
      </c>
      <c r="B47" s="98">
        <v>1.95</v>
      </c>
      <c r="C47" s="98">
        <v>1.49</v>
      </c>
      <c r="D47" s="98">
        <v>1.31</v>
      </c>
      <c r="E47" s="98">
        <v>1.58</v>
      </c>
      <c r="F47" s="98">
        <v>1.37</v>
      </c>
      <c r="G47" s="98">
        <v>1.02</v>
      </c>
      <c r="H47" s="98">
        <v>0.49</v>
      </c>
      <c r="I47" s="98">
        <v>0.26</v>
      </c>
      <c r="J47" s="98">
        <v>0.15</v>
      </c>
    </row>
    <row r="48" spans="1:10" ht="12.75">
      <c r="A48" s="15">
        <v>35</v>
      </c>
      <c r="B48" s="99">
        <v>1.99</v>
      </c>
      <c r="C48" s="99">
        <v>1.53</v>
      </c>
      <c r="D48" s="99">
        <v>1.34</v>
      </c>
      <c r="E48" s="99">
        <v>1.62</v>
      </c>
      <c r="F48" s="99">
        <v>1.42</v>
      </c>
      <c r="G48" s="99">
        <v>1.05</v>
      </c>
      <c r="H48" s="99">
        <v>0.5</v>
      </c>
      <c r="I48" s="99">
        <v>0.27</v>
      </c>
      <c r="J48" s="99">
        <v>0.16</v>
      </c>
    </row>
    <row r="49" spans="1:10" ht="12.75">
      <c r="A49" s="17">
        <v>36</v>
      </c>
      <c r="B49" s="98">
        <v>2.02</v>
      </c>
      <c r="C49" s="98">
        <v>1.56</v>
      </c>
      <c r="D49" s="98">
        <v>1.37</v>
      </c>
      <c r="E49" s="98">
        <v>1.66</v>
      </c>
      <c r="F49" s="98">
        <v>1.47</v>
      </c>
      <c r="G49" s="98">
        <v>1.09</v>
      </c>
      <c r="H49" s="98">
        <v>0.52</v>
      </c>
      <c r="I49" s="98">
        <v>0.28</v>
      </c>
      <c r="J49" s="98">
        <v>0.16</v>
      </c>
    </row>
    <row r="50" spans="1:10" ht="12.75">
      <c r="A50" s="17">
        <v>37</v>
      </c>
      <c r="B50" s="98">
        <v>2.06</v>
      </c>
      <c r="C50" s="98">
        <v>1.6</v>
      </c>
      <c r="D50" s="98">
        <v>1.41</v>
      </c>
      <c r="E50" s="98">
        <v>1.7</v>
      </c>
      <c r="F50" s="98">
        <v>1.52</v>
      </c>
      <c r="G50" s="98">
        <v>1.12</v>
      </c>
      <c r="H50" s="98">
        <v>0.54</v>
      </c>
      <c r="I50" s="98">
        <v>0.29</v>
      </c>
      <c r="J50" s="98">
        <v>0.17</v>
      </c>
    </row>
    <row r="51" spans="1:10" ht="12.75">
      <c r="A51" s="17">
        <v>38</v>
      </c>
      <c r="B51" s="98">
        <v>2.11</v>
      </c>
      <c r="C51" s="98">
        <v>1.64</v>
      </c>
      <c r="D51" s="98">
        <v>1.44</v>
      </c>
      <c r="E51" s="98">
        <v>1.75</v>
      </c>
      <c r="F51" s="98">
        <v>1.58</v>
      </c>
      <c r="G51" s="98">
        <v>1.17</v>
      </c>
      <c r="H51" s="98">
        <v>0.56</v>
      </c>
      <c r="I51" s="98">
        <v>0.3</v>
      </c>
      <c r="J51" s="98">
        <v>0.17</v>
      </c>
    </row>
    <row r="52" spans="1:10" s="24" customFormat="1" ht="12.75">
      <c r="A52" s="17">
        <v>39</v>
      </c>
      <c r="B52" s="98">
        <v>2.15</v>
      </c>
      <c r="C52" s="98">
        <v>1.68</v>
      </c>
      <c r="D52" s="98">
        <v>1.48</v>
      </c>
      <c r="E52" s="98">
        <v>1.8</v>
      </c>
      <c r="F52" s="98">
        <v>1.64</v>
      </c>
      <c r="G52" s="98">
        <v>1.21</v>
      </c>
      <c r="H52" s="98">
        <v>0.58</v>
      </c>
      <c r="I52" s="98">
        <v>0.31</v>
      </c>
      <c r="J52" s="98">
        <v>0.18</v>
      </c>
    </row>
    <row r="53" spans="1:10" ht="12.75">
      <c r="A53" s="15">
        <v>40</v>
      </c>
      <c r="B53" s="99">
        <v>2.2</v>
      </c>
      <c r="C53" s="99">
        <v>1.73</v>
      </c>
      <c r="D53" s="99">
        <v>1.52</v>
      </c>
      <c r="E53" s="99">
        <v>1.85</v>
      </c>
      <c r="F53" s="99">
        <v>1.7</v>
      </c>
      <c r="G53" s="99">
        <v>1.25</v>
      </c>
      <c r="H53" s="99">
        <v>0.6</v>
      </c>
      <c r="I53" s="99">
        <v>0.32</v>
      </c>
      <c r="J53" s="99">
        <v>0.18</v>
      </c>
    </row>
    <row r="54" spans="1:10" ht="12.75">
      <c r="A54" s="17">
        <v>41</v>
      </c>
      <c r="B54" s="98">
        <v>2.24</v>
      </c>
      <c r="C54" s="98">
        <v>1.77</v>
      </c>
      <c r="D54" s="98">
        <v>1.55</v>
      </c>
      <c r="E54" s="98">
        <v>1.9</v>
      </c>
      <c r="F54" s="98">
        <v>1.76</v>
      </c>
      <c r="G54" s="98">
        <v>1.3</v>
      </c>
      <c r="H54" s="98">
        <v>0.62</v>
      </c>
      <c r="I54" s="98">
        <v>0.33</v>
      </c>
      <c r="J54" s="98">
        <v>0.19</v>
      </c>
    </row>
    <row r="55" spans="1:10" ht="12.75">
      <c r="A55" s="17">
        <v>42</v>
      </c>
      <c r="B55" s="98">
        <v>2.29</v>
      </c>
      <c r="C55" s="98">
        <v>1.81</v>
      </c>
      <c r="D55" s="98">
        <v>1.59</v>
      </c>
      <c r="E55" s="98">
        <v>1.95</v>
      </c>
      <c r="F55" s="98">
        <v>1.82</v>
      </c>
      <c r="G55" s="98">
        <v>1.35</v>
      </c>
      <c r="H55" s="98">
        <v>0.65</v>
      </c>
      <c r="I55" s="98">
        <v>0.34</v>
      </c>
      <c r="J55" s="98">
        <v>0.2</v>
      </c>
    </row>
    <row r="56" spans="1:10" ht="12.75">
      <c r="A56" s="17">
        <v>43</v>
      </c>
      <c r="B56" s="98">
        <v>2.33</v>
      </c>
      <c r="C56" s="98">
        <v>1.85</v>
      </c>
      <c r="D56" s="98">
        <v>1.62</v>
      </c>
      <c r="E56" s="98">
        <v>2</v>
      </c>
      <c r="F56" s="98">
        <v>1.89</v>
      </c>
      <c r="G56" s="98">
        <v>1.4</v>
      </c>
      <c r="H56" s="98">
        <v>0.67</v>
      </c>
      <c r="I56" s="98">
        <v>0.36</v>
      </c>
      <c r="J56" s="98">
        <v>0.2</v>
      </c>
    </row>
    <row r="57" spans="1:10" ht="12.75">
      <c r="A57" s="17">
        <v>44</v>
      </c>
      <c r="B57" s="98">
        <v>2.37</v>
      </c>
      <c r="C57" s="98">
        <v>1.9</v>
      </c>
      <c r="D57" s="98">
        <v>1.66</v>
      </c>
      <c r="E57" s="98">
        <v>2.06</v>
      </c>
      <c r="F57" s="98">
        <v>1.96</v>
      </c>
      <c r="G57" s="98">
        <v>1.45</v>
      </c>
      <c r="H57" s="98">
        <v>0.69</v>
      </c>
      <c r="I57" s="98">
        <v>0.37</v>
      </c>
      <c r="J57" s="98">
        <v>0.21</v>
      </c>
    </row>
    <row r="58" spans="1:10" ht="12.75">
      <c r="A58" s="15">
        <v>45</v>
      </c>
      <c r="B58" s="99">
        <v>2.42</v>
      </c>
      <c r="C58" s="99">
        <v>1.94</v>
      </c>
      <c r="D58" s="99">
        <v>1.69</v>
      </c>
      <c r="E58" s="99">
        <v>2.11</v>
      </c>
      <c r="F58" s="99">
        <v>2.03</v>
      </c>
      <c r="G58" s="99">
        <v>1.5</v>
      </c>
      <c r="H58" s="99">
        <v>0.72</v>
      </c>
      <c r="I58" s="99">
        <v>0.38</v>
      </c>
      <c r="J58" s="99">
        <v>0.22</v>
      </c>
    </row>
    <row r="59" spans="1:10" ht="12.75">
      <c r="A59" s="17">
        <v>46</v>
      </c>
      <c r="B59" s="98">
        <v>2.46</v>
      </c>
      <c r="C59" s="98">
        <v>1.98</v>
      </c>
      <c r="D59" s="98">
        <v>1.73</v>
      </c>
      <c r="E59" s="98">
        <v>2.17</v>
      </c>
      <c r="F59" s="98">
        <v>2.1</v>
      </c>
      <c r="G59" s="98">
        <v>1.55</v>
      </c>
      <c r="H59" s="98">
        <v>0.74</v>
      </c>
      <c r="I59" s="98">
        <v>0.4</v>
      </c>
      <c r="J59" s="98">
        <v>0.23</v>
      </c>
    </row>
    <row r="60" spans="1:10" ht="12.75">
      <c r="A60" s="17">
        <v>47</v>
      </c>
      <c r="B60" s="98">
        <v>2.51</v>
      </c>
      <c r="C60" s="98">
        <v>2.03</v>
      </c>
      <c r="D60" s="98">
        <v>1.77</v>
      </c>
      <c r="E60" s="98">
        <v>2.22</v>
      </c>
      <c r="F60" s="98">
        <v>2.17</v>
      </c>
      <c r="G60" s="98">
        <v>1.6</v>
      </c>
      <c r="H60" s="98">
        <v>0.77</v>
      </c>
      <c r="I60" s="98">
        <v>0.41</v>
      </c>
      <c r="J60" s="98">
        <v>0.24</v>
      </c>
    </row>
    <row r="61" spans="1:10" ht="12.75">
      <c r="A61" s="17">
        <v>48</v>
      </c>
      <c r="B61" s="98">
        <v>2.55</v>
      </c>
      <c r="C61" s="98">
        <v>2.07</v>
      </c>
      <c r="D61" s="98">
        <v>1.8</v>
      </c>
      <c r="E61" s="98">
        <v>2.28</v>
      </c>
      <c r="F61" s="98">
        <v>2.25</v>
      </c>
      <c r="G61" s="98">
        <v>1.66</v>
      </c>
      <c r="H61" s="98">
        <v>0.8</v>
      </c>
      <c r="I61" s="98">
        <v>0.42</v>
      </c>
      <c r="J61" s="98">
        <v>0.24</v>
      </c>
    </row>
    <row r="62" spans="1:10" ht="12.75">
      <c r="A62" s="17">
        <v>49</v>
      </c>
      <c r="B62" s="98">
        <v>2.57</v>
      </c>
      <c r="C62" s="98">
        <v>2.09</v>
      </c>
      <c r="D62" s="98">
        <v>1.82</v>
      </c>
      <c r="E62" s="98">
        <v>2.3</v>
      </c>
      <c r="F62" s="98">
        <v>2.32</v>
      </c>
      <c r="G62" s="98">
        <v>1.71</v>
      </c>
      <c r="H62" s="98">
        <v>0.83</v>
      </c>
      <c r="I62" s="98">
        <v>0.44</v>
      </c>
      <c r="J62" s="98">
        <v>0.25</v>
      </c>
    </row>
    <row r="63" spans="1:10" ht="12.75">
      <c r="A63" s="15">
        <v>50</v>
      </c>
      <c r="B63" s="99">
        <v>2.58</v>
      </c>
      <c r="C63" s="99">
        <v>2.11</v>
      </c>
      <c r="D63" s="99">
        <v>1.83</v>
      </c>
      <c r="E63" s="99">
        <v>2.33</v>
      </c>
      <c r="F63" s="99">
        <v>2.4</v>
      </c>
      <c r="G63" s="99">
        <v>1.77</v>
      </c>
      <c r="H63" s="99">
        <v>0.85</v>
      </c>
      <c r="I63" s="99">
        <v>0.45</v>
      </c>
      <c r="J63" s="99">
        <v>0.26</v>
      </c>
    </row>
    <row r="64" spans="1:10" ht="12.75">
      <c r="A64" s="17">
        <v>51</v>
      </c>
      <c r="B64" s="98">
        <v>2.59</v>
      </c>
      <c r="C64" s="98">
        <v>2.12</v>
      </c>
      <c r="D64" s="98">
        <v>1.84</v>
      </c>
      <c r="E64" s="98">
        <v>2.35</v>
      </c>
      <c r="F64" s="98">
        <v>2.48</v>
      </c>
      <c r="G64" s="98">
        <v>1.83</v>
      </c>
      <c r="H64" s="98">
        <v>0.88</v>
      </c>
      <c r="I64" s="98">
        <v>0.47</v>
      </c>
      <c r="J64" s="98">
        <v>0.27</v>
      </c>
    </row>
    <row r="65" spans="1:10" ht="12.75">
      <c r="A65" s="17">
        <v>52</v>
      </c>
      <c r="B65" s="98">
        <v>2.59</v>
      </c>
      <c r="C65" s="98">
        <v>2.14</v>
      </c>
      <c r="D65" s="98">
        <v>1.84</v>
      </c>
      <c r="E65" s="98">
        <v>2.37</v>
      </c>
      <c r="F65" s="98">
        <v>2.57</v>
      </c>
      <c r="G65" s="98">
        <v>1.88</v>
      </c>
      <c r="H65" s="98">
        <v>0.91</v>
      </c>
      <c r="I65" s="98">
        <v>0.49</v>
      </c>
      <c r="J65" s="98">
        <v>0.28</v>
      </c>
    </row>
    <row r="66" spans="1:10" ht="12.75">
      <c r="A66" s="17">
        <v>53</v>
      </c>
      <c r="B66" s="98">
        <v>2.62</v>
      </c>
      <c r="C66" s="98">
        <v>2.17</v>
      </c>
      <c r="D66" s="98">
        <v>1.86</v>
      </c>
      <c r="E66" s="98">
        <v>2.42</v>
      </c>
      <c r="F66" s="98">
        <v>2.65</v>
      </c>
      <c r="G66" s="98">
        <v>1.95</v>
      </c>
      <c r="H66" s="98">
        <v>0.95</v>
      </c>
      <c r="I66" s="98">
        <v>0.5</v>
      </c>
      <c r="J66" s="98">
        <v>0.29</v>
      </c>
    </row>
    <row r="67" spans="1:10" ht="12.75">
      <c r="A67" s="17">
        <v>54</v>
      </c>
      <c r="B67" s="98">
        <v>2.64</v>
      </c>
      <c r="C67" s="98">
        <v>2.2</v>
      </c>
      <c r="D67" s="98">
        <v>1.88</v>
      </c>
      <c r="E67" s="98">
        <v>2.45</v>
      </c>
      <c r="F67" s="98">
        <v>2.74</v>
      </c>
      <c r="G67" s="98">
        <v>2.01</v>
      </c>
      <c r="H67" s="98">
        <v>0.98</v>
      </c>
      <c r="I67" s="98">
        <v>0.52</v>
      </c>
      <c r="J67" s="98">
        <v>0.3</v>
      </c>
    </row>
    <row r="68" spans="1:10" ht="12.75">
      <c r="A68" s="15">
        <v>55</v>
      </c>
      <c r="B68" s="99">
        <v>2.66</v>
      </c>
      <c r="C68" s="99">
        <v>2.22</v>
      </c>
      <c r="D68" s="99">
        <v>1.9</v>
      </c>
      <c r="E68" s="99">
        <v>2.49</v>
      </c>
      <c r="F68" s="99">
        <v>2.83</v>
      </c>
      <c r="G68" s="99">
        <v>2.07</v>
      </c>
      <c r="H68" s="99">
        <v>1.02</v>
      </c>
      <c r="I68" s="99">
        <v>0.54</v>
      </c>
      <c r="J68" s="99">
        <v>0.31</v>
      </c>
    </row>
    <row r="69" spans="1:10" ht="12.75">
      <c r="A69" s="17">
        <v>56</v>
      </c>
      <c r="B69" s="98">
        <v>2.68</v>
      </c>
      <c r="C69" s="98">
        <v>2.25</v>
      </c>
      <c r="D69" s="98">
        <v>1.91</v>
      </c>
      <c r="E69" s="98">
        <v>2.53</v>
      </c>
      <c r="F69" s="98">
        <v>2.93</v>
      </c>
      <c r="G69" s="98">
        <v>2.14</v>
      </c>
      <c r="H69" s="98">
        <v>1.05</v>
      </c>
      <c r="I69" s="98">
        <v>0.56</v>
      </c>
      <c r="J69" s="98">
        <v>0.32</v>
      </c>
    </row>
    <row r="70" spans="1:10" ht="12.75">
      <c r="A70" s="17">
        <v>57</v>
      </c>
      <c r="B70" s="98">
        <v>2.7</v>
      </c>
      <c r="C70" s="98">
        <v>2.27</v>
      </c>
      <c r="D70" s="98">
        <v>1.92</v>
      </c>
      <c r="E70" s="98">
        <v>2.56</v>
      </c>
      <c r="F70" s="98">
        <v>3.03</v>
      </c>
      <c r="G70" s="98">
        <v>2.21</v>
      </c>
      <c r="H70" s="98">
        <v>1.09</v>
      </c>
      <c r="I70" s="98">
        <v>0.58</v>
      </c>
      <c r="J70" s="98">
        <v>0.33</v>
      </c>
    </row>
    <row r="71" spans="1:10" ht="12.75">
      <c r="A71" s="17">
        <v>58</v>
      </c>
      <c r="B71" s="98">
        <v>2.7</v>
      </c>
      <c r="C71" s="98">
        <v>2.29</v>
      </c>
      <c r="D71" s="98">
        <v>1.92</v>
      </c>
      <c r="E71" s="98">
        <v>2.58</v>
      </c>
      <c r="F71" s="98">
        <v>3.05</v>
      </c>
      <c r="G71" s="98">
        <v>2.23</v>
      </c>
      <c r="H71" s="98">
        <v>1.1</v>
      </c>
      <c r="I71" s="98">
        <v>0.59</v>
      </c>
      <c r="J71" s="98">
        <v>0.33</v>
      </c>
    </row>
    <row r="72" spans="1:10" ht="12.75">
      <c r="A72" s="17">
        <v>59</v>
      </c>
      <c r="B72" s="98">
        <v>2.7</v>
      </c>
      <c r="C72" s="98">
        <v>2.3</v>
      </c>
      <c r="D72" s="98">
        <v>1.92</v>
      </c>
      <c r="E72" s="98">
        <v>2.6</v>
      </c>
      <c r="F72" s="98">
        <v>3.06</v>
      </c>
      <c r="G72" s="98">
        <v>2.23</v>
      </c>
      <c r="H72" s="98">
        <v>1.11</v>
      </c>
      <c r="I72" s="98">
        <v>0.59</v>
      </c>
      <c r="J72" s="98">
        <v>0.33</v>
      </c>
    </row>
    <row r="73" spans="1:10" ht="12.75">
      <c r="A73" s="15">
        <v>60</v>
      </c>
      <c r="B73" s="99">
        <v>2.7</v>
      </c>
      <c r="C73" s="99">
        <v>2.31</v>
      </c>
      <c r="D73" s="99">
        <v>1.92</v>
      </c>
      <c r="E73" s="99">
        <v>2.62</v>
      </c>
      <c r="F73" s="99">
        <v>3.06</v>
      </c>
      <c r="G73" s="99">
        <v>2.23</v>
      </c>
      <c r="H73" s="99">
        <v>1.11</v>
      </c>
      <c r="I73" s="99">
        <v>0.59</v>
      </c>
      <c r="J73" s="99">
        <v>0.33</v>
      </c>
    </row>
    <row r="74" spans="1:10" ht="12.75">
      <c r="A74" s="17">
        <v>61</v>
      </c>
      <c r="B74" s="98">
        <v>2.7</v>
      </c>
      <c r="C74" s="98">
        <v>2.33</v>
      </c>
      <c r="D74" s="98">
        <v>1.92</v>
      </c>
      <c r="E74" s="98">
        <v>2.64</v>
      </c>
      <c r="F74" s="98">
        <v>3.07</v>
      </c>
      <c r="G74" s="98">
        <v>2.23</v>
      </c>
      <c r="H74" s="98">
        <v>1.11</v>
      </c>
      <c r="I74" s="98">
        <v>0.59</v>
      </c>
      <c r="J74" s="98">
        <v>0.34</v>
      </c>
    </row>
    <row r="75" spans="1:10" ht="12.75">
      <c r="A75" s="17">
        <v>62</v>
      </c>
      <c r="B75" s="98">
        <v>2.71</v>
      </c>
      <c r="C75" s="98">
        <v>2.34</v>
      </c>
      <c r="D75" s="98">
        <v>1.92</v>
      </c>
      <c r="E75" s="98">
        <v>2.65</v>
      </c>
      <c r="F75" s="98">
        <v>3.09</v>
      </c>
      <c r="G75" s="98">
        <v>2.25</v>
      </c>
      <c r="H75" s="98">
        <v>1.12</v>
      </c>
      <c r="I75" s="98">
        <v>0.6</v>
      </c>
      <c r="J75" s="98">
        <v>0.34</v>
      </c>
    </row>
    <row r="76" spans="1:10" ht="12.75">
      <c r="A76" s="17">
        <v>63</v>
      </c>
      <c r="B76" s="98">
        <v>2.72</v>
      </c>
      <c r="C76" s="98">
        <v>2.35</v>
      </c>
      <c r="D76" s="98">
        <v>1.92</v>
      </c>
      <c r="E76" s="98">
        <v>2.66</v>
      </c>
      <c r="F76" s="98">
        <v>3.09</v>
      </c>
      <c r="G76" s="98">
        <v>2.25</v>
      </c>
      <c r="H76" s="98">
        <v>1.12</v>
      </c>
      <c r="I76" s="98">
        <v>0.6</v>
      </c>
      <c r="J76" s="98">
        <v>0.34</v>
      </c>
    </row>
    <row r="77" spans="1:10" ht="12.75">
      <c r="A77" s="17">
        <v>64</v>
      </c>
      <c r="B77" s="98">
        <v>2.73</v>
      </c>
      <c r="C77" s="98">
        <v>2.37</v>
      </c>
      <c r="D77" s="98">
        <v>1.93</v>
      </c>
      <c r="E77" s="98">
        <v>2.67</v>
      </c>
      <c r="F77" s="98">
        <v>3.09</v>
      </c>
      <c r="G77" s="98">
        <v>2.25</v>
      </c>
      <c r="H77" s="98">
        <v>1.12</v>
      </c>
      <c r="I77" s="98">
        <v>0.6</v>
      </c>
      <c r="J77" s="98">
        <v>0.34</v>
      </c>
    </row>
    <row r="78" spans="1:10" ht="12.75">
      <c r="A78" s="11">
        <v>5</v>
      </c>
      <c r="B78" s="12" t="s">
        <v>78</v>
      </c>
      <c r="C78" s="12" t="s">
        <v>79</v>
      </c>
      <c r="D78" s="12" t="s">
        <v>80</v>
      </c>
      <c r="E78" s="12" t="s">
        <v>81</v>
      </c>
      <c r="F78" s="12" t="s">
        <v>30</v>
      </c>
      <c r="G78" s="12" t="s">
        <v>31</v>
      </c>
      <c r="H78" s="12" t="s">
        <v>32</v>
      </c>
      <c r="I78" s="12" t="s">
        <v>33</v>
      </c>
      <c r="J78" s="12" t="s">
        <v>34</v>
      </c>
    </row>
    <row r="79" spans="1:10" ht="12.75">
      <c r="A79" s="21" t="s">
        <v>56</v>
      </c>
      <c r="B79" s="23" t="s">
        <v>57</v>
      </c>
      <c r="C79" s="23" t="s">
        <v>57</v>
      </c>
      <c r="D79" s="23" t="s">
        <v>57</v>
      </c>
      <c r="E79" s="23" t="s">
        <v>57</v>
      </c>
      <c r="F79" s="23" t="s">
        <v>57</v>
      </c>
      <c r="G79" s="23" t="s">
        <v>57</v>
      </c>
      <c r="H79" s="23" t="s">
        <v>57</v>
      </c>
      <c r="I79" s="23" t="s">
        <v>57</v>
      </c>
      <c r="J79" s="23" t="s">
        <v>57</v>
      </c>
    </row>
    <row r="80" spans="1:10" ht="12.75">
      <c r="A80" s="25" t="s">
        <v>58</v>
      </c>
      <c r="B80" s="26" t="s">
        <v>59</v>
      </c>
      <c r="C80" s="26" t="s">
        <v>59</v>
      </c>
      <c r="D80" s="26" t="s">
        <v>59</v>
      </c>
      <c r="E80" s="26" t="s">
        <v>59</v>
      </c>
      <c r="F80" s="26" t="s">
        <v>59</v>
      </c>
      <c r="G80" s="26" t="s">
        <v>59</v>
      </c>
      <c r="H80" s="26" t="s">
        <v>59</v>
      </c>
      <c r="I80" s="26" t="s">
        <v>59</v>
      </c>
      <c r="J80" s="26" t="s">
        <v>59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5"/>
  <dimension ref="A1:I80"/>
  <sheetViews>
    <sheetView workbookViewId="0" topLeftCell="A26">
      <selection activeCell="C63" sqref="C63"/>
    </sheetView>
  </sheetViews>
  <sheetFormatPr defaultColWidth="11.421875" defaultRowHeight="12.75"/>
  <cols>
    <col min="1" max="1" width="9.8515625" style="18" customWidth="1"/>
    <col min="2" max="9" width="12.140625" style="10" customWidth="1"/>
    <col min="10" max="16384" width="11.421875" style="9" customWidth="1"/>
  </cols>
  <sheetData>
    <row r="1" spans="1:9" ht="12.75">
      <c r="A1" s="13"/>
      <c r="B1" s="27"/>
      <c r="C1" s="14"/>
      <c r="D1" s="14"/>
      <c r="E1" s="93"/>
      <c r="F1" s="93"/>
      <c r="G1" s="93"/>
      <c r="H1" s="93"/>
      <c r="I1" s="93"/>
    </row>
    <row r="2" spans="1:9" ht="12.75">
      <c r="A2" s="13"/>
      <c r="B2" s="27"/>
      <c r="C2" s="14"/>
      <c r="D2" s="14"/>
      <c r="E2" s="93"/>
      <c r="F2" s="93"/>
      <c r="G2" s="93"/>
      <c r="H2" s="93"/>
      <c r="I2" s="93"/>
    </row>
    <row r="3" spans="1:9" ht="12.75">
      <c r="A3" s="13"/>
      <c r="B3" s="27"/>
      <c r="C3" s="14"/>
      <c r="D3" s="14"/>
      <c r="E3" s="93"/>
      <c r="F3" s="93"/>
      <c r="G3" s="93"/>
      <c r="H3" s="93"/>
      <c r="I3" s="93"/>
    </row>
    <row r="4" spans="1:9" ht="12.75">
      <c r="A4" s="13"/>
      <c r="B4" s="27"/>
      <c r="C4" s="14"/>
      <c r="D4" s="14"/>
      <c r="E4" s="93"/>
      <c r="F4" s="93"/>
      <c r="G4" s="93"/>
      <c r="H4" s="93"/>
      <c r="I4" s="93"/>
    </row>
    <row r="5" spans="1:9" ht="12.75">
      <c r="A5" s="13"/>
      <c r="B5" s="20"/>
      <c r="C5" s="14"/>
      <c r="D5" s="14"/>
      <c r="E5" s="93"/>
      <c r="F5" s="93"/>
      <c r="G5" s="93"/>
      <c r="H5" s="93"/>
      <c r="I5" s="93"/>
    </row>
    <row r="6" spans="1:9" ht="12.75">
      <c r="A6" s="15"/>
      <c r="B6" s="28"/>
      <c r="C6" s="16"/>
      <c r="D6" s="16"/>
      <c r="E6" s="94"/>
      <c r="F6" s="94"/>
      <c r="G6" s="94"/>
      <c r="H6" s="94"/>
      <c r="I6" s="94"/>
    </row>
    <row r="7" spans="1:9" ht="12.75">
      <c r="A7" s="17"/>
      <c r="B7" s="14"/>
      <c r="C7" s="14"/>
      <c r="D7" s="14"/>
      <c r="E7" s="93"/>
      <c r="F7" s="93"/>
      <c r="G7" s="93"/>
      <c r="H7" s="93"/>
      <c r="I7" s="93"/>
    </row>
    <row r="8" spans="1:9" ht="12.75">
      <c r="A8" s="17"/>
      <c r="B8" s="27"/>
      <c r="C8" s="14"/>
      <c r="D8" s="14"/>
      <c r="E8" s="93"/>
      <c r="F8" s="93"/>
      <c r="G8" s="93"/>
      <c r="H8" s="93"/>
      <c r="I8" s="93"/>
    </row>
    <row r="9" spans="1:9" ht="12.75">
      <c r="A9" s="17"/>
      <c r="B9" s="27"/>
      <c r="C9" s="14"/>
      <c r="D9" s="14"/>
      <c r="E9" s="93"/>
      <c r="F9" s="93"/>
      <c r="G9" s="93"/>
      <c r="H9" s="93"/>
      <c r="I9" s="93"/>
    </row>
    <row r="10" spans="1:9" ht="12.75">
      <c r="A10" s="17"/>
      <c r="B10" s="27"/>
      <c r="C10" s="14"/>
      <c r="D10" s="14"/>
      <c r="E10" s="93"/>
      <c r="F10" s="93"/>
      <c r="G10" s="93"/>
      <c r="H10" s="93"/>
      <c r="I10" s="93"/>
    </row>
    <row r="11" spans="1:9" ht="12.75">
      <c r="A11" s="15"/>
      <c r="B11" s="16"/>
      <c r="C11" s="16"/>
      <c r="D11" s="16"/>
      <c r="E11" s="94"/>
      <c r="F11" s="94"/>
      <c r="G11" s="94"/>
      <c r="H11" s="94"/>
      <c r="I11" s="94"/>
    </row>
    <row r="12" spans="1:9" ht="12.75">
      <c r="A12" s="17"/>
      <c r="B12" s="14"/>
      <c r="C12" s="14"/>
      <c r="D12" s="14"/>
      <c r="E12" s="93"/>
      <c r="F12" s="93"/>
      <c r="G12" s="93"/>
      <c r="H12" s="93"/>
      <c r="I12" s="93"/>
    </row>
    <row r="13" spans="1:9" ht="12.75">
      <c r="A13" s="17"/>
      <c r="B13" s="14"/>
      <c r="C13" s="14"/>
      <c r="D13" s="14"/>
      <c r="E13" s="93"/>
      <c r="F13" s="93"/>
      <c r="G13" s="93"/>
      <c r="H13" s="93"/>
      <c r="I13" s="93"/>
    </row>
    <row r="14" spans="1:9" ht="12.75">
      <c r="A14" s="17"/>
      <c r="B14" s="27"/>
      <c r="C14" s="14"/>
      <c r="D14" s="14"/>
      <c r="E14" s="93"/>
      <c r="F14" s="93"/>
      <c r="G14" s="93"/>
      <c r="H14" s="93"/>
      <c r="I14" s="93"/>
    </row>
    <row r="15" spans="1:9" ht="12.75">
      <c r="A15" s="17"/>
      <c r="B15" s="27"/>
      <c r="C15" s="14"/>
      <c r="D15" s="14"/>
      <c r="E15" s="93"/>
      <c r="F15" s="93"/>
      <c r="G15" s="93"/>
      <c r="H15" s="93"/>
      <c r="I15" s="93"/>
    </row>
    <row r="16" spans="1:9" ht="12.75">
      <c r="A16" s="15"/>
      <c r="B16" s="16"/>
      <c r="C16" s="16"/>
      <c r="D16" s="16"/>
      <c r="E16" s="94"/>
      <c r="F16" s="94"/>
      <c r="G16" s="94"/>
      <c r="H16" s="94"/>
      <c r="I16" s="94"/>
    </row>
    <row r="17" spans="1:9" ht="12.75">
      <c r="A17" s="17"/>
      <c r="B17" s="14"/>
      <c r="C17" s="14"/>
      <c r="D17" s="14"/>
      <c r="E17" s="93"/>
      <c r="F17" s="93"/>
      <c r="G17" s="93"/>
      <c r="H17" s="93"/>
      <c r="I17" s="93"/>
    </row>
    <row r="18" spans="1:9" ht="12.75">
      <c r="A18" s="17"/>
      <c r="B18" s="27"/>
      <c r="C18" s="14"/>
      <c r="D18" s="14"/>
      <c r="E18" s="93"/>
      <c r="F18" s="93"/>
      <c r="G18" s="93"/>
      <c r="H18" s="93"/>
      <c r="I18" s="93"/>
    </row>
    <row r="19" spans="1:9" ht="12.75">
      <c r="A19" s="17"/>
      <c r="B19" s="27"/>
      <c r="C19" s="14"/>
      <c r="D19" s="14"/>
      <c r="E19" s="93"/>
      <c r="F19" s="93"/>
      <c r="G19" s="93"/>
      <c r="H19" s="93"/>
      <c r="I19" s="93"/>
    </row>
    <row r="20" spans="1:9" ht="12.75">
      <c r="A20" s="17"/>
      <c r="B20" s="27"/>
      <c r="C20" s="14"/>
      <c r="D20" s="14"/>
      <c r="E20" s="93"/>
      <c r="F20" s="93"/>
      <c r="G20" s="93"/>
      <c r="H20" s="93"/>
      <c r="I20" s="93"/>
    </row>
    <row r="21" spans="1:9" ht="12.75">
      <c r="A21" s="15"/>
      <c r="B21" s="28"/>
      <c r="C21" s="16"/>
      <c r="D21" s="16"/>
      <c r="E21" s="94"/>
      <c r="F21" s="94"/>
      <c r="G21" s="94"/>
      <c r="H21" s="94"/>
      <c r="I21" s="94"/>
    </row>
    <row r="22" spans="1:9" ht="12.75">
      <c r="A22" s="17"/>
      <c r="B22" s="27"/>
      <c r="C22" s="14"/>
      <c r="D22" s="14"/>
      <c r="E22" s="93"/>
      <c r="F22" s="93"/>
      <c r="G22" s="93"/>
      <c r="H22" s="93"/>
      <c r="I22" s="93"/>
    </row>
    <row r="23" spans="1:9" ht="12.75">
      <c r="A23" s="17"/>
      <c r="B23" s="27"/>
      <c r="C23" s="14"/>
      <c r="D23" s="14"/>
      <c r="E23" s="93"/>
      <c r="F23" s="93"/>
      <c r="G23" s="93"/>
      <c r="H23" s="93"/>
      <c r="I23" s="93"/>
    </row>
    <row r="24" spans="1:9" ht="12.75">
      <c r="A24" s="17"/>
      <c r="B24" s="27"/>
      <c r="C24" s="14"/>
      <c r="D24" s="14"/>
      <c r="E24" s="93"/>
      <c r="F24" s="93"/>
      <c r="G24" s="93"/>
      <c r="H24" s="93"/>
      <c r="I24" s="93"/>
    </row>
    <row r="25" spans="1:9" ht="12.75">
      <c r="A25" s="17"/>
      <c r="B25" s="27"/>
      <c r="C25" s="14"/>
      <c r="D25" s="14"/>
      <c r="E25" s="93"/>
      <c r="F25" s="93"/>
      <c r="G25" s="93"/>
      <c r="H25" s="93"/>
      <c r="I25" s="93"/>
    </row>
    <row r="26" spans="1:9" ht="12.75">
      <c r="A26" s="15"/>
      <c r="B26" s="16"/>
      <c r="C26" s="16"/>
      <c r="D26" s="16"/>
      <c r="E26" s="94"/>
      <c r="F26" s="94"/>
      <c r="G26" s="94"/>
      <c r="H26" s="94"/>
      <c r="I26" s="94"/>
    </row>
    <row r="27" spans="1:9" ht="12.75">
      <c r="A27" s="17"/>
      <c r="B27" s="14"/>
      <c r="C27" s="14"/>
      <c r="D27" s="14"/>
      <c r="E27" s="14"/>
      <c r="F27" s="14"/>
      <c r="G27" s="14"/>
      <c r="H27" s="14"/>
      <c r="I27" s="14"/>
    </row>
    <row r="28" spans="1:9" ht="12.75">
      <c r="A28" s="13">
        <v>15</v>
      </c>
      <c r="B28" s="27">
        <v>1.71</v>
      </c>
      <c r="C28" s="93">
        <v>1.6</v>
      </c>
      <c r="D28" s="14">
        <v>1.2</v>
      </c>
      <c r="E28" s="14">
        <v>0.75</v>
      </c>
      <c r="F28" s="14">
        <v>0.52</v>
      </c>
      <c r="G28" s="14">
        <v>0.25</v>
      </c>
      <c r="H28" s="14">
        <v>0.13</v>
      </c>
      <c r="I28" s="14">
        <v>0.08</v>
      </c>
    </row>
    <row r="29" spans="1:9" ht="12.75">
      <c r="A29" s="13">
        <v>16</v>
      </c>
      <c r="B29" s="27">
        <v>1.74</v>
      </c>
      <c r="C29" s="93">
        <v>1.64</v>
      </c>
      <c r="D29" s="14">
        <v>1.23</v>
      </c>
      <c r="E29" s="14">
        <v>0.77</v>
      </c>
      <c r="F29" s="14">
        <v>0.54</v>
      </c>
      <c r="G29" s="14">
        <v>0.25</v>
      </c>
      <c r="H29" s="14">
        <v>0.14</v>
      </c>
      <c r="I29" s="14">
        <v>0.08</v>
      </c>
    </row>
    <row r="30" spans="1:9" ht="12.75">
      <c r="A30" s="13">
        <v>17</v>
      </c>
      <c r="B30" s="27">
        <v>1.77</v>
      </c>
      <c r="C30" s="93">
        <v>1.69</v>
      </c>
      <c r="D30" s="14">
        <v>1.25</v>
      </c>
      <c r="E30" s="14">
        <v>0.79</v>
      </c>
      <c r="F30" s="14">
        <v>0.55</v>
      </c>
      <c r="G30" s="14">
        <v>0.26</v>
      </c>
      <c r="H30" s="14">
        <v>0.14</v>
      </c>
      <c r="I30" s="14">
        <v>0.08</v>
      </c>
    </row>
    <row r="31" spans="1:9" ht="12.75">
      <c r="A31" s="13">
        <v>18</v>
      </c>
      <c r="B31" s="27">
        <v>1.8</v>
      </c>
      <c r="C31" s="93">
        <v>1.73</v>
      </c>
      <c r="D31" s="14">
        <v>1.28</v>
      </c>
      <c r="E31" s="14">
        <v>0.8</v>
      </c>
      <c r="F31" s="14">
        <v>0.57</v>
      </c>
      <c r="G31" s="14">
        <v>0.27</v>
      </c>
      <c r="H31" s="14">
        <v>0.15</v>
      </c>
      <c r="I31" s="14">
        <v>0.08</v>
      </c>
    </row>
    <row r="32" spans="1:9" ht="12.75">
      <c r="A32" s="13">
        <v>19</v>
      </c>
      <c r="B32" s="20">
        <v>1.83</v>
      </c>
      <c r="C32" s="93">
        <v>1.78</v>
      </c>
      <c r="D32" s="14">
        <v>1.32</v>
      </c>
      <c r="E32" s="14">
        <v>0.82</v>
      </c>
      <c r="F32" s="14">
        <v>0.58</v>
      </c>
      <c r="G32" s="14">
        <v>0.28</v>
      </c>
      <c r="H32" s="14">
        <v>0.15</v>
      </c>
      <c r="I32" s="14">
        <v>0.09</v>
      </c>
    </row>
    <row r="33" spans="1:9" ht="12.75">
      <c r="A33" s="15">
        <v>20</v>
      </c>
      <c r="B33" s="28">
        <v>1.87</v>
      </c>
      <c r="C33" s="94">
        <v>1.83</v>
      </c>
      <c r="D33" s="16">
        <v>1.35</v>
      </c>
      <c r="E33" s="14">
        <v>0.85</v>
      </c>
      <c r="F33" s="14">
        <v>0.6</v>
      </c>
      <c r="G33" s="14">
        <v>0.28</v>
      </c>
      <c r="H33" s="14">
        <v>0.15</v>
      </c>
      <c r="I33" s="14">
        <v>0.09</v>
      </c>
    </row>
    <row r="34" spans="1:9" ht="12.75">
      <c r="A34" s="17">
        <v>21</v>
      </c>
      <c r="B34" s="14">
        <v>1.91</v>
      </c>
      <c r="C34" s="93">
        <v>1.88</v>
      </c>
      <c r="D34" s="14">
        <v>1.38</v>
      </c>
      <c r="E34" s="14">
        <v>0.87</v>
      </c>
      <c r="F34" s="14">
        <v>0.61</v>
      </c>
      <c r="G34" s="14">
        <v>0.29</v>
      </c>
      <c r="H34" s="14">
        <v>0.16</v>
      </c>
      <c r="I34" s="14">
        <v>0.09</v>
      </c>
    </row>
    <row r="35" spans="1:9" ht="12.75">
      <c r="A35" s="17">
        <v>22</v>
      </c>
      <c r="B35" s="27">
        <v>1.94</v>
      </c>
      <c r="C35" s="93">
        <v>1.93</v>
      </c>
      <c r="D35" s="14">
        <v>1.41</v>
      </c>
      <c r="E35" s="14">
        <v>0.89</v>
      </c>
      <c r="F35" s="14">
        <v>0.63</v>
      </c>
      <c r="G35" s="14">
        <v>0.3</v>
      </c>
      <c r="H35" s="14">
        <v>0.16</v>
      </c>
      <c r="I35" s="14">
        <v>0.09</v>
      </c>
    </row>
    <row r="36" spans="1:9" ht="12.75">
      <c r="A36" s="17">
        <v>23</v>
      </c>
      <c r="B36" s="27">
        <v>1.98</v>
      </c>
      <c r="C36" s="93">
        <v>1.99</v>
      </c>
      <c r="D36" s="14">
        <v>1.44</v>
      </c>
      <c r="E36" s="14">
        <v>0.91</v>
      </c>
      <c r="F36" s="14">
        <v>0.64</v>
      </c>
      <c r="G36" s="14">
        <v>0.31</v>
      </c>
      <c r="H36" s="14">
        <v>0.17</v>
      </c>
      <c r="I36" s="14">
        <v>0.1</v>
      </c>
    </row>
    <row r="37" spans="1:9" ht="12.75">
      <c r="A37" s="17">
        <v>24</v>
      </c>
      <c r="B37" s="27">
        <v>2.02</v>
      </c>
      <c r="C37" s="93">
        <v>2.04</v>
      </c>
      <c r="D37" s="14">
        <v>1.48</v>
      </c>
      <c r="E37" s="14">
        <v>0.93</v>
      </c>
      <c r="F37" s="14">
        <v>0.66</v>
      </c>
      <c r="G37" s="14">
        <v>0.31</v>
      </c>
      <c r="H37" s="14">
        <v>0.17</v>
      </c>
      <c r="I37" s="14">
        <v>0.1</v>
      </c>
    </row>
    <row r="38" spans="1:9" ht="12.75">
      <c r="A38" s="15">
        <v>25</v>
      </c>
      <c r="B38" s="16">
        <v>2.06</v>
      </c>
      <c r="C38" s="94">
        <v>2.1</v>
      </c>
      <c r="D38" s="16">
        <v>1.51</v>
      </c>
      <c r="E38" s="14">
        <v>0.96</v>
      </c>
      <c r="F38" s="14">
        <v>0.68</v>
      </c>
      <c r="G38" s="14">
        <v>0.32</v>
      </c>
      <c r="H38" s="14">
        <v>0.17</v>
      </c>
      <c r="I38" s="14">
        <v>0.1</v>
      </c>
    </row>
    <row r="39" spans="1:9" ht="12.75">
      <c r="A39" s="17">
        <v>26</v>
      </c>
      <c r="B39" s="14">
        <v>2.11</v>
      </c>
      <c r="C39" s="93">
        <v>2.16</v>
      </c>
      <c r="D39" s="14">
        <v>1.55</v>
      </c>
      <c r="E39" s="14">
        <v>0.98</v>
      </c>
      <c r="F39" s="14">
        <v>0.7</v>
      </c>
      <c r="G39" s="14">
        <v>0.33</v>
      </c>
      <c r="H39" s="14">
        <v>0.18</v>
      </c>
      <c r="I39" s="14">
        <v>0.1</v>
      </c>
    </row>
    <row r="40" spans="1:9" ht="12.75">
      <c r="A40" s="17">
        <v>27</v>
      </c>
      <c r="B40" s="14">
        <v>2.15</v>
      </c>
      <c r="C40" s="93">
        <v>2.23</v>
      </c>
      <c r="D40" s="14">
        <v>1.58</v>
      </c>
      <c r="E40" s="14">
        <v>1.01</v>
      </c>
      <c r="F40" s="14">
        <v>0.71</v>
      </c>
      <c r="G40" s="14">
        <v>0.34</v>
      </c>
      <c r="H40" s="14">
        <v>0.18</v>
      </c>
      <c r="I40" s="14">
        <v>0.11</v>
      </c>
    </row>
    <row r="41" spans="1:9" ht="12.75">
      <c r="A41" s="17">
        <v>28</v>
      </c>
      <c r="B41" s="27">
        <v>2.2</v>
      </c>
      <c r="C41" s="93">
        <v>2.29</v>
      </c>
      <c r="D41" s="14">
        <v>1.62</v>
      </c>
      <c r="E41" s="14">
        <v>1.03</v>
      </c>
      <c r="F41" s="14">
        <v>0.73</v>
      </c>
      <c r="G41" s="14">
        <v>0.35</v>
      </c>
      <c r="H41" s="14">
        <v>0.19</v>
      </c>
      <c r="I41" s="14">
        <v>0.11</v>
      </c>
    </row>
    <row r="42" spans="1:9" ht="12.75">
      <c r="A42" s="17">
        <v>29</v>
      </c>
      <c r="B42" s="27">
        <v>2.24</v>
      </c>
      <c r="C42" s="93">
        <v>2.36</v>
      </c>
      <c r="D42" s="14">
        <v>1.66</v>
      </c>
      <c r="E42" s="14">
        <v>1.06</v>
      </c>
      <c r="F42" s="14">
        <v>0.75</v>
      </c>
      <c r="G42" s="14">
        <v>0.36</v>
      </c>
      <c r="H42" s="14">
        <v>0.19</v>
      </c>
      <c r="I42" s="14">
        <v>0.11</v>
      </c>
    </row>
    <row r="43" spans="1:9" ht="12.75">
      <c r="A43" s="15">
        <v>30</v>
      </c>
      <c r="B43" s="16">
        <v>2.29</v>
      </c>
      <c r="C43" s="94">
        <v>2.43</v>
      </c>
      <c r="D43" s="16">
        <v>1.69</v>
      </c>
      <c r="E43" s="14">
        <v>1.09</v>
      </c>
      <c r="F43" s="14">
        <v>0.77</v>
      </c>
      <c r="G43" s="14">
        <v>0.37</v>
      </c>
      <c r="H43" s="14">
        <v>0.2</v>
      </c>
      <c r="I43" s="14">
        <v>0.12</v>
      </c>
    </row>
    <row r="44" spans="1:9" ht="12.75">
      <c r="A44" s="17">
        <v>31</v>
      </c>
      <c r="B44" s="14">
        <v>2.35</v>
      </c>
      <c r="C44" s="93">
        <v>2.5</v>
      </c>
      <c r="D44" s="14">
        <v>1.73</v>
      </c>
      <c r="E44" s="14">
        <v>1.11</v>
      </c>
      <c r="F44" s="14">
        <v>0.79</v>
      </c>
      <c r="G44" s="14">
        <v>0.38</v>
      </c>
      <c r="H44" s="14">
        <v>0.21</v>
      </c>
      <c r="I44" s="14">
        <v>0.12</v>
      </c>
    </row>
    <row r="45" spans="1:9" ht="12.75">
      <c r="A45" s="17">
        <v>32</v>
      </c>
      <c r="B45" s="27">
        <v>2.4</v>
      </c>
      <c r="C45" s="93">
        <v>2.58</v>
      </c>
      <c r="D45" s="14">
        <v>1.77</v>
      </c>
      <c r="E45" s="14">
        <v>1.14</v>
      </c>
      <c r="F45" s="14">
        <v>0.81</v>
      </c>
      <c r="G45" s="14">
        <v>0.39</v>
      </c>
      <c r="H45" s="14">
        <v>0.21</v>
      </c>
      <c r="I45" s="14">
        <v>0.12</v>
      </c>
    </row>
    <row r="46" spans="1:9" ht="12.75">
      <c r="A46" s="17">
        <v>33</v>
      </c>
      <c r="B46" s="27">
        <v>2.46</v>
      </c>
      <c r="C46" s="93">
        <v>2.65</v>
      </c>
      <c r="D46" s="14">
        <v>1.81</v>
      </c>
      <c r="E46" s="14">
        <v>1.18</v>
      </c>
      <c r="F46" s="14">
        <v>0.84</v>
      </c>
      <c r="G46" s="14">
        <v>0.4</v>
      </c>
      <c r="H46" s="14">
        <v>0.22</v>
      </c>
      <c r="I46" s="14">
        <v>0.12</v>
      </c>
    </row>
    <row r="47" spans="1:9" ht="12.75">
      <c r="A47" s="17">
        <v>34</v>
      </c>
      <c r="B47" s="27">
        <v>2.51</v>
      </c>
      <c r="C47" s="93">
        <v>2.73</v>
      </c>
      <c r="D47" s="14">
        <v>1.86</v>
      </c>
      <c r="E47" s="14">
        <v>1.21</v>
      </c>
      <c r="F47" s="14">
        <v>0.86</v>
      </c>
      <c r="G47" s="14">
        <v>0.41</v>
      </c>
      <c r="H47" s="14">
        <v>0.22</v>
      </c>
      <c r="I47" s="14">
        <v>0.13</v>
      </c>
    </row>
    <row r="48" spans="1:9" ht="12.75">
      <c r="A48" s="15">
        <v>35</v>
      </c>
      <c r="B48" s="28">
        <v>2.57</v>
      </c>
      <c r="C48" s="94">
        <v>2.81</v>
      </c>
      <c r="D48" s="16">
        <v>1.9</v>
      </c>
      <c r="E48" s="14">
        <v>1.24</v>
      </c>
      <c r="F48" s="14">
        <v>0.88</v>
      </c>
      <c r="G48" s="14">
        <v>0.43</v>
      </c>
      <c r="H48" s="14">
        <v>0.23</v>
      </c>
      <c r="I48" s="14">
        <v>0.13</v>
      </c>
    </row>
    <row r="49" spans="1:9" ht="12.75">
      <c r="A49" s="17">
        <v>36</v>
      </c>
      <c r="B49" s="27">
        <v>2.63</v>
      </c>
      <c r="C49" s="93">
        <v>2.89</v>
      </c>
      <c r="D49" s="14">
        <v>1.95</v>
      </c>
      <c r="E49" s="14">
        <v>1.28</v>
      </c>
      <c r="F49" s="14">
        <v>0.91</v>
      </c>
      <c r="G49" s="14">
        <v>0.44</v>
      </c>
      <c r="H49" s="14">
        <v>0.24</v>
      </c>
      <c r="I49" s="14">
        <v>0.14</v>
      </c>
    </row>
    <row r="50" spans="1:9" ht="12.75">
      <c r="A50" s="17">
        <v>37</v>
      </c>
      <c r="B50" s="27">
        <v>2.69</v>
      </c>
      <c r="C50" s="93">
        <v>2.97</v>
      </c>
      <c r="D50" s="14">
        <v>2</v>
      </c>
      <c r="E50" s="14">
        <v>1.32</v>
      </c>
      <c r="F50" s="14">
        <v>0.94</v>
      </c>
      <c r="G50" s="14">
        <v>0.45</v>
      </c>
      <c r="H50" s="14">
        <v>0.25</v>
      </c>
      <c r="I50" s="14">
        <v>0.14</v>
      </c>
    </row>
    <row r="51" spans="1:9" ht="12.75">
      <c r="A51" s="17">
        <v>38</v>
      </c>
      <c r="B51" s="27">
        <v>2.76</v>
      </c>
      <c r="C51" s="93">
        <v>3.06</v>
      </c>
      <c r="D51" s="14">
        <v>2.06</v>
      </c>
      <c r="E51" s="14">
        <v>1.37</v>
      </c>
      <c r="F51" s="14">
        <v>0.97</v>
      </c>
      <c r="G51" s="14">
        <v>0.47</v>
      </c>
      <c r="H51" s="14">
        <v>0.25</v>
      </c>
      <c r="I51" s="14">
        <v>0.15</v>
      </c>
    </row>
    <row r="52" spans="1:9" s="24" customFormat="1" ht="12.75">
      <c r="A52" s="17">
        <v>39</v>
      </c>
      <c r="B52" s="27">
        <v>2.82</v>
      </c>
      <c r="C52" s="93">
        <v>3.14</v>
      </c>
      <c r="D52" s="14">
        <v>2.12</v>
      </c>
      <c r="E52" s="14">
        <v>1.41</v>
      </c>
      <c r="F52" s="14">
        <v>1.01</v>
      </c>
      <c r="G52" s="14">
        <v>0.49</v>
      </c>
      <c r="H52" s="14">
        <v>0.26</v>
      </c>
      <c r="I52" s="14">
        <v>0.15</v>
      </c>
    </row>
    <row r="53" spans="1:9" ht="12.75">
      <c r="A53" s="15">
        <v>40</v>
      </c>
      <c r="B53" s="16">
        <v>2.89</v>
      </c>
      <c r="C53" s="94">
        <v>3.23</v>
      </c>
      <c r="D53" s="16">
        <v>2.18</v>
      </c>
      <c r="E53" s="14">
        <v>1.46</v>
      </c>
      <c r="F53" s="14">
        <v>1.04</v>
      </c>
      <c r="G53" s="14">
        <v>0.5</v>
      </c>
      <c r="H53" s="14">
        <v>0.27</v>
      </c>
      <c r="I53" s="14">
        <v>0.16</v>
      </c>
    </row>
    <row r="54" spans="1:9" ht="12.75">
      <c r="A54" s="17">
        <v>41</v>
      </c>
      <c r="B54" s="14">
        <v>2.96</v>
      </c>
      <c r="C54" s="93">
        <v>3.32</v>
      </c>
      <c r="D54" s="14">
        <v>2.24</v>
      </c>
      <c r="E54" s="14">
        <v>1.51</v>
      </c>
      <c r="F54" s="14">
        <v>1.08</v>
      </c>
      <c r="G54" s="14">
        <v>0.52</v>
      </c>
      <c r="H54" s="14">
        <v>0.28</v>
      </c>
      <c r="I54" s="14">
        <v>0.16</v>
      </c>
    </row>
    <row r="55" spans="1:9" ht="12.75">
      <c r="A55" s="17">
        <v>42</v>
      </c>
      <c r="B55" s="27">
        <v>3.03</v>
      </c>
      <c r="C55" s="93">
        <v>3.41</v>
      </c>
      <c r="D55" s="14">
        <v>2.3</v>
      </c>
      <c r="E55" s="14">
        <v>1.56</v>
      </c>
      <c r="F55" s="14">
        <v>1.12</v>
      </c>
      <c r="G55" s="14">
        <v>0.54</v>
      </c>
      <c r="H55" s="14">
        <v>0.29</v>
      </c>
      <c r="I55" s="14">
        <v>0.17</v>
      </c>
    </row>
    <row r="56" spans="1:9" ht="12.75">
      <c r="A56" s="17">
        <v>43</v>
      </c>
      <c r="B56" s="27">
        <v>3.1</v>
      </c>
      <c r="C56" s="93">
        <v>3.5</v>
      </c>
      <c r="D56" s="14">
        <v>2.36</v>
      </c>
      <c r="E56" s="14">
        <v>1.62</v>
      </c>
      <c r="F56" s="14">
        <v>1.16</v>
      </c>
      <c r="G56" s="14">
        <v>0.56</v>
      </c>
      <c r="H56" s="14">
        <v>0.3</v>
      </c>
      <c r="I56" s="14">
        <v>0.17</v>
      </c>
    </row>
    <row r="57" spans="1:9" ht="12.75">
      <c r="A57" s="17">
        <v>44</v>
      </c>
      <c r="B57" s="27">
        <v>3.17</v>
      </c>
      <c r="C57" s="93">
        <v>3.59</v>
      </c>
      <c r="D57" s="14">
        <v>2.43</v>
      </c>
      <c r="E57" s="14">
        <v>1.68</v>
      </c>
      <c r="F57" s="14">
        <v>1.2</v>
      </c>
      <c r="G57" s="14">
        <v>0.58</v>
      </c>
      <c r="H57" s="14">
        <v>0.32</v>
      </c>
      <c r="I57" s="14">
        <v>0.18</v>
      </c>
    </row>
    <row r="58" spans="1:9" ht="12.75">
      <c r="A58" s="15">
        <v>45</v>
      </c>
      <c r="B58" s="28">
        <v>3.24</v>
      </c>
      <c r="C58" s="94">
        <v>3.69</v>
      </c>
      <c r="D58" s="16">
        <v>2.5</v>
      </c>
      <c r="E58" s="14">
        <v>1.74</v>
      </c>
      <c r="F58" s="14">
        <v>1.24</v>
      </c>
      <c r="G58" s="14">
        <v>0.61</v>
      </c>
      <c r="H58" s="14">
        <v>0.33</v>
      </c>
      <c r="I58" s="14">
        <v>0.19</v>
      </c>
    </row>
    <row r="59" spans="1:9" ht="12.75">
      <c r="A59" s="17">
        <v>46</v>
      </c>
      <c r="B59" s="14">
        <v>3.31</v>
      </c>
      <c r="C59" s="93">
        <v>3.78</v>
      </c>
      <c r="D59" s="14">
        <v>2.56</v>
      </c>
      <c r="E59" s="14">
        <v>1.8</v>
      </c>
      <c r="F59" s="14">
        <v>1.29</v>
      </c>
      <c r="G59" s="14">
        <v>0.63</v>
      </c>
      <c r="H59" s="14">
        <v>0.34</v>
      </c>
      <c r="I59" s="14">
        <v>0.19</v>
      </c>
    </row>
    <row r="60" spans="1:9" ht="12.75">
      <c r="A60" s="17">
        <v>47</v>
      </c>
      <c r="B60" s="27">
        <v>3.38</v>
      </c>
      <c r="C60" s="93">
        <v>3.88</v>
      </c>
      <c r="D60" s="14">
        <v>2.63</v>
      </c>
      <c r="E60" s="14">
        <v>1.87</v>
      </c>
      <c r="F60" s="14">
        <v>1.34</v>
      </c>
      <c r="G60" s="14">
        <v>0.65</v>
      </c>
      <c r="H60" s="14">
        <v>0.35</v>
      </c>
      <c r="I60" s="14">
        <v>0.2</v>
      </c>
    </row>
    <row r="61" spans="1:9" ht="12.75">
      <c r="A61" s="17">
        <v>48</v>
      </c>
      <c r="B61" s="27">
        <v>3.45</v>
      </c>
      <c r="C61" s="93">
        <v>3.97</v>
      </c>
      <c r="D61" s="14">
        <v>2.7</v>
      </c>
      <c r="E61" s="14">
        <v>1.94</v>
      </c>
      <c r="F61" s="14">
        <v>1.38</v>
      </c>
      <c r="G61" s="14">
        <v>0.68</v>
      </c>
      <c r="H61" s="14">
        <v>0.36</v>
      </c>
      <c r="I61" s="14">
        <v>0.21</v>
      </c>
    </row>
    <row r="62" spans="1:9" ht="12.75">
      <c r="A62" s="17">
        <v>49</v>
      </c>
      <c r="B62" s="27">
        <v>3.53</v>
      </c>
      <c r="C62" s="93">
        <v>4.07</v>
      </c>
      <c r="D62" s="14">
        <v>2.78</v>
      </c>
      <c r="E62" s="14">
        <v>2.01</v>
      </c>
      <c r="F62" s="14">
        <v>1.43</v>
      </c>
      <c r="G62" s="14">
        <v>0.7</v>
      </c>
      <c r="H62" s="14">
        <v>0.38</v>
      </c>
      <c r="I62" s="14">
        <v>0.22</v>
      </c>
    </row>
    <row r="63" spans="1:9" ht="12.75">
      <c r="A63" s="15">
        <v>50</v>
      </c>
      <c r="B63" s="28">
        <v>3.6</v>
      </c>
      <c r="C63" s="94">
        <v>4.17</v>
      </c>
      <c r="D63" s="16">
        <v>2.85</v>
      </c>
      <c r="E63" s="14">
        <v>2.08</v>
      </c>
      <c r="F63" s="14">
        <v>1.49</v>
      </c>
      <c r="G63" s="14">
        <v>0.73</v>
      </c>
      <c r="H63" s="14">
        <v>0.39</v>
      </c>
      <c r="I63" s="14">
        <v>0.22</v>
      </c>
    </row>
    <row r="64" spans="1:9" ht="12.75">
      <c r="A64" s="17">
        <v>51</v>
      </c>
      <c r="B64" s="27">
        <v>3.67</v>
      </c>
      <c r="C64" s="93">
        <v>4.27</v>
      </c>
      <c r="D64" s="14">
        <v>2.92</v>
      </c>
      <c r="E64" s="14">
        <v>2.16</v>
      </c>
      <c r="F64" s="14">
        <v>1.54</v>
      </c>
      <c r="G64" s="14">
        <v>0.76</v>
      </c>
      <c r="H64" s="14">
        <v>0.41</v>
      </c>
      <c r="I64" s="14">
        <v>0.23</v>
      </c>
    </row>
    <row r="65" spans="1:9" ht="12.75">
      <c r="A65" s="17">
        <v>52</v>
      </c>
      <c r="B65" s="27">
        <v>3.75</v>
      </c>
      <c r="C65" s="93">
        <v>4.37</v>
      </c>
      <c r="D65" s="14">
        <v>3</v>
      </c>
      <c r="E65" s="14">
        <v>2.24</v>
      </c>
      <c r="F65" s="14">
        <v>1.6</v>
      </c>
      <c r="G65" s="14">
        <v>0.79</v>
      </c>
      <c r="H65" s="14">
        <v>0.42</v>
      </c>
      <c r="I65" s="14">
        <v>0.24</v>
      </c>
    </row>
    <row r="66" spans="1:9" ht="12.75">
      <c r="A66" s="17">
        <v>53</v>
      </c>
      <c r="B66" s="27">
        <v>3.82</v>
      </c>
      <c r="C66" s="93">
        <v>4.47</v>
      </c>
      <c r="D66" s="14">
        <v>3.07</v>
      </c>
      <c r="E66" s="14">
        <v>2.32</v>
      </c>
      <c r="F66" s="14">
        <v>1.66</v>
      </c>
      <c r="G66" s="14">
        <v>0.82</v>
      </c>
      <c r="H66" s="14">
        <v>0.44</v>
      </c>
      <c r="I66" s="14">
        <v>0.25</v>
      </c>
    </row>
    <row r="67" spans="1:9" ht="12.75">
      <c r="A67" s="17">
        <v>54</v>
      </c>
      <c r="B67" s="27">
        <v>3.9</v>
      </c>
      <c r="C67" s="93">
        <v>4.58</v>
      </c>
      <c r="D67" s="14">
        <v>3.15</v>
      </c>
      <c r="E67" s="14">
        <v>2.4</v>
      </c>
      <c r="F67" s="14">
        <v>1.72</v>
      </c>
      <c r="G67" s="14">
        <v>0.85</v>
      </c>
      <c r="H67" s="14">
        <v>0.46</v>
      </c>
      <c r="I67" s="14">
        <v>0.26</v>
      </c>
    </row>
    <row r="68" spans="1:9" ht="12.75">
      <c r="A68" s="15">
        <v>55</v>
      </c>
      <c r="B68" s="28">
        <v>3.94</v>
      </c>
      <c r="C68" s="94">
        <v>4.68</v>
      </c>
      <c r="D68" s="16">
        <v>3.19</v>
      </c>
      <c r="E68" s="14">
        <v>2.49</v>
      </c>
      <c r="F68" s="14">
        <v>1.78</v>
      </c>
      <c r="G68" s="14">
        <v>0.88</v>
      </c>
      <c r="H68" s="14">
        <v>0.47</v>
      </c>
      <c r="I68" s="14">
        <v>0.27</v>
      </c>
    </row>
    <row r="69" spans="1:9" ht="12.75">
      <c r="A69" s="17">
        <v>56</v>
      </c>
      <c r="B69" s="14">
        <v>3.97</v>
      </c>
      <c r="C69" s="93">
        <v>4.78</v>
      </c>
      <c r="D69" s="14">
        <v>3.24</v>
      </c>
      <c r="E69" s="14">
        <v>2.58</v>
      </c>
      <c r="F69" s="14">
        <v>1.84</v>
      </c>
      <c r="G69" s="14">
        <v>0.91</v>
      </c>
      <c r="H69" s="14">
        <v>0.49</v>
      </c>
      <c r="I69" s="14">
        <v>0.28</v>
      </c>
    </row>
    <row r="70" spans="1:9" ht="12.75">
      <c r="A70" s="17">
        <v>57</v>
      </c>
      <c r="B70" s="27">
        <v>4</v>
      </c>
      <c r="C70" s="93">
        <v>4.88</v>
      </c>
      <c r="D70" s="14">
        <v>3.27</v>
      </c>
      <c r="E70" s="14">
        <v>2.66</v>
      </c>
      <c r="F70" s="14">
        <v>1.91</v>
      </c>
      <c r="G70" s="14">
        <v>0.94</v>
      </c>
      <c r="H70" s="14">
        <v>0.51</v>
      </c>
      <c r="I70" s="14">
        <v>0.29</v>
      </c>
    </row>
    <row r="71" spans="1:9" ht="12.75">
      <c r="A71" s="17">
        <v>58</v>
      </c>
      <c r="B71" s="27">
        <v>4.04</v>
      </c>
      <c r="C71" s="93">
        <v>4.98</v>
      </c>
      <c r="D71" s="14">
        <v>3.32</v>
      </c>
      <c r="E71" s="14">
        <v>2.71</v>
      </c>
      <c r="F71" s="14">
        <v>1.94</v>
      </c>
      <c r="G71" s="14">
        <v>0.96</v>
      </c>
      <c r="H71" s="14">
        <v>0.52</v>
      </c>
      <c r="I71" s="14">
        <v>0.29</v>
      </c>
    </row>
    <row r="72" spans="1:9" ht="12.75">
      <c r="A72" s="17">
        <v>59</v>
      </c>
      <c r="B72" s="27">
        <v>4.08</v>
      </c>
      <c r="C72" s="93">
        <v>4.99</v>
      </c>
      <c r="D72" s="14">
        <v>3.37</v>
      </c>
      <c r="E72" s="14">
        <v>2.73</v>
      </c>
      <c r="F72" s="14">
        <v>1.95</v>
      </c>
      <c r="G72" s="14">
        <v>0.97</v>
      </c>
      <c r="H72" s="14">
        <v>0.52</v>
      </c>
      <c r="I72" s="14">
        <v>0.3</v>
      </c>
    </row>
    <row r="73" spans="1:9" ht="12.75">
      <c r="A73" s="15">
        <v>60</v>
      </c>
      <c r="B73" s="28">
        <v>4.11</v>
      </c>
      <c r="C73" s="94">
        <v>5</v>
      </c>
      <c r="D73" s="16">
        <v>3.4</v>
      </c>
      <c r="E73" s="14">
        <v>2.73</v>
      </c>
      <c r="F73" s="14">
        <v>1.95</v>
      </c>
      <c r="G73" s="14">
        <v>0.97</v>
      </c>
      <c r="H73" s="14">
        <v>0.52</v>
      </c>
      <c r="I73" s="14">
        <v>0.3</v>
      </c>
    </row>
    <row r="74" spans="1:9" ht="12.75">
      <c r="A74" s="17">
        <v>61</v>
      </c>
      <c r="B74" s="27">
        <v>4.13</v>
      </c>
      <c r="C74" s="93">
        <v>5</v>
      </c>
      <c r="D74" s="14">
        <v>3.43</v>
      </c>
      <c r="E74" s="14">
        <v>2.74</v>
      </c>
      <c r="F74" s="14">
        <v>1.96</v>
      </c>
      <c r="G74" s="14">
        <v>0.98</v>
      </c>
      <c r="H74" s="14">
        <v>0.52</v>
      </c>
      <c r="I74" s="14">
        <v>0.3</v>
      </c>
    </row>
    <row r="75" spans="1:9" ht="12.75">
      <c r="A75" s="17">
        <v>62</v>
      </c>
      <c r="B75" s="27">
        <v>4.14</v>
      </c>
      <c r="C75" s="93">
        <v>5.01</v>
      </c>
      <c r="D75" s="14">
        <v>3.45</v>
      </c>
      <c r="E75" s="14">
        <v>2.76</v>
      </c>
      <c r="F75" s="14">
        <v>1.97</v>
      </c>
      <c r="G75" s="14">
        <v>0.98</v>
      </c>
      <c r="H75" s="14">
        <v>0.53</v>
      </c>
      <c r="I75" s="14">
        <v>0.3</v>
      </c>
    </row>
    <row r="76" spans="1:9" ht="12.75">
      <c r="A76" s="17">
        <v>63</v>
      </c>
      <c r="B76" s="27">
        <v>4.15</v>
      </c>
      <c r="C76" s="93">
        <v>5.01</v>
      </c>
      <c r="D76" s="14">
        <v>3.45</v>
      </c>
      <c r="E76" s="14">
        <v>2.79</v>
      </c>
      <c r="F76" s="14">
        <v>1.99</v>
      </c>
      <c r="G76" s="14">
        <v>0.99</v>
      </c>
      <c r="H76" s="14">
        <v>0.53</v>
      </c>
      <c r="I76" s="14">
        <v>0.3</v>
      </c>
    </row>
    <row r="77" spans="1:9" ht="12.75">
      <c r="A77" s="17">
        <v>64</v>
      </c>
      <c r="B77" s="27">
        <v>4.16</v>
      </c>
      <c r="C77" s="93">
        <v>5.01</v>
      </c>
      <c r="D77" s="14">
        <v>3.46</v>
      </c>
      <c r="E77" s="14">
        <v>2.79</v>
      </c>
      <c r="F77" s="14">
        <v>2</v>
      </c>
      <c r="G77" s="14">
        <v>0.99</v>
      </c>
      <c r="H77" s="14">
        <v>0.53</v>
      </c>
      <c r="I77" s="14">
        <v>0.3</v>
      </c>
    </row>
    <row r="78" spans="1:9" ht="12.75">
      <c r="A78" s="11">
        <v>5</v>
      </c>
      <c r="B78" s="12" t="s">
        <v>52</v>
      </c>
      <c r="C78" s="12" t="s">
        <v>55</v>
      </c>
      <c r="D78" s="12" t="s">
        <v>53</v>
      </c>
      <c r="E78" s="12" t="s">
        <v>30</v>
      </c>
      <c r="F78" s="12" t="s">
        <v>31</v>
      </c>
      <c r="G78" s="12" t="s">
        <v>32</v>
      </c>
      <c r="H78" s="12" t="s">
        <v>33</v>
      </c>
      <c r="I78" s="12" t="s">
        <v>34</v>
      </c>
    </row>
    <row r="79" spans="1:9" ht="12.75">
      <c r="A79" s="21" t="s">
        <v>56</v>
      </c>
      <c r="B79" s="22" t="s">
        <v>114</v>
      </c>
      <c r="C79" s="23" t="s">
        <v>123</v>
      </c>
      <c r="D79" s="23" t="s">
        <v>114</v>
      </c>
      <c r="E79" s="23" t="s">
        <v>111</v>
      </c>
      <c r="F79" s="23" t="s">
        <v>111</v>
      </c>
      <c r="G79" s="23" t="s">
        <v>111</v>
      </c>
      <c r="H79" s="23" t="s">
        <v>111</v>
      </c>
      <c r="I79" s="23" t="s">
        <v>111</v>
      </c>
    </row>
    <row r="80" spans="1:9" ht="12.75">
      <c r="A80" s="25" t="s">
        <v>58</v>
      </c>
      <c r="B80" s="26" t="s">
        <v>59</v>
      </c>
      <c r="C80" s="26" t="s">
        <v>59</v>
      </c>
      <c r="D80" s="26" t="s">
        <v>59</v>
      </c>
      <c r="E80" s="26" t="s">
        <v>59</v>
      </c>
      <c r="F80" s="26" t="s">
        <v>59</v>
      </c>
      <c r="G80" s="26" t="s">
        <v>59</v>
      </c>
      <c r="H80" s="26" t="s">
        <v>59</v>
      </c>
      <c r="I80" s="26" t="s">
        <v>59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theme="0" tint="-0.1499900072813034"/>
    <pageSetUpPr fitToPage="1"/>
  </sheetPr>
  <dimension ref="A1:R45"/>
  <sheetViews>
    <sheetView workbookViewId="0" topLeftCell="A4">
      <selection activeCell="A2" sqref="A2"/>
    </sheetView>
  </sheetViews>
  <sheetFormatPr defaultColWidth="0" defaultRowHeight="12.75" zeroHeight="1"/>
  <cols>
    <col min="1" max="1" width="14.8515625" style="36" customWidth="1"/>
    <col min="2" max="2" width="8.140625" style="36" customWidth="1"/>
    <col min="3" max="3" width="7.8515625" style="36" customWidth="1"/>
    <col min="4" max="4" width="13.28125" style="36" customWidth="1"/>
    <col min="5" max="5" width="13.8515625" style="36" customWidth="1"/>
    <col min="6" max="6" width="14.7109375" style="36" customWidth="1"/>
    <col min="7" max="7" width="17.8515625" style="36" customWidth="1"/>
    <col min="8" max="10" width="11.421875" style="36" hidden="1" customWidth="1"/>
    <col min="11" max="11" width="19.7109375" style="36" hidden="1" customWidth="1"/>
    <col min="12" max="16174" width="11.421875" style="36" hidden="1" customWidth="1"/>
    <col min="16175" max="16175" width="112.28125" style="36" hidden="1" customWidth="1"/>
    <col min="16176" max="16383" width="11.421875" style="36" hidden="1" customWidth="1"/>
    <col min="16384" max="16384" width="15.7109375" style="36" hidden="1" customWidth="1"/>
  </cols>
  <sheetData>
    <row r="1" spans="1:10" ht="12.75">
      <c r="A1" s="35"/>
      <c r="B1" s="35"/>
      <c r="C1" s="35"/>
      <c r="D1" s="35"/>
      <c r="E1" s="35"/>
      <c r="F1" s="35"/>
      <c r="G1" s="35"/>
      <c r="I1" s="37"/>
      <c r="J1" s="37"/>
    </row>
    <row r="2" spans="1:10" ht="12.75">
      <c r="A2" s="35"/>
      <c r="B2" s="35"/>
      <c r="C2" s="35"/>
      <c r="D2" s="35"/>
      <c r="E2" s="35"/>
      <c r="F2" s="35"/>
      <c r="G2" s="35"/>
      <c r="I2" s="37"/>
      <c r="J2" s="37"/>
    </row>
    <row r="3" spans="1:10" ht="20.25">
      <c r="A3" s="35"/>
      <c r="B3" s="90" t="s">
        <v>102</v>
      </c>
      <c r="C3" s="35"/>
      <c r="D3" s="35"/>
      <c r="E3" s="35"/>
      <c r="F3" s="35"/>
      <c r="G3" s="35"/>
      <c r="I3" s="37"/>
      <c r="J3" s="37"/>
    </row>
    <row r="4" spans="1:10" ht="15.75">
      <c r="A4" s="35"/>
      <c r="B4" s="91" t="s">
        <v>18</v>
      </c>
      <c r="C4" s="35"/>
      <c r="D4" s="35"/>
      <c r="E4" s="35"/>
      <c r="F4" s="35"/>
      <c r="G4" s="35"/>
      <c r="I4" s="37"/>
      <c r="J4" s="37"/>
    </row>
    <row r="5" spans="1:10" ht="12.75">
      <c r="A5" s="35"/>
      <c r="B5" s="35"/>
      <c r="C5" s="35"/>
      <c r="D5" s="35"/>
      <c r="E5" s="35"/>
      <c r="F5" s="35"/>
      <c r="G5" s="35"/>
      <c r="I5" s="37"/>
      <c r="J5" s="37"/>
    </row>
    <row r="6" spans="1:10" ht="12.75">
      <c r="A6" s="35"/>
      <c r="B6" s="35"/>
      <c r="C6" s="35"/>
      <c r="D6" s="35"/>
      <c r="E6" s="35"/>
      <c r="F6" s="35"/>
      <c r="G6" s="35"/>
      <c r="I6" s="37"/>
      <c r="J6" s="37"/>
    </row>
    <row r="7" spans="1:10" ht="12.75">
      <c r="A7" s="35"/>
      <c r="B7" s="35"/>
      <c r="C7" s="35"/>
      <c r="D7" s="35"/>
      <c r="E7" s="35"/>
      <c r="F7" s="35"/>
      <c r="G7" s="35"/>
      <c r="I7" s="37"/>
      <c r="J7" s="37"/>
    </row>
    <row r="8" spans="1:10" ht="12.75">
      <c r="A8" s="35"/>
      <c r="B8" s="35"/>
      <c r="C8" s="35"/>
      <c r="D8" s="35"/>
      <c r="E8" s="35"/>
      <c r="F8" s="35"/>
      <c r="G8" s="35"/>
      <c r="I8" s="37"/>
      <c r="J8" s="37"/>
    </row>
    <row r="9" spans="1:10" ht="15">
      <c r="A9" s="56"/>
      <c r="B9" s="56"/>
      <c r="C9" s="56"/>
      <c r="D9" s="56"/>
      <c r="E9" s="56"/>
      <c r="F9" s="56"/>
      <c r="G9" s="56"/>
      <c r="I9" s="37"/>
      <c r="J9" s="37"/>
    </row>
    <row r="10" spans="1:10" ht="15">
      <c r="A10" s="56"/>
      <c r="B10" s="56"/>
      <c r="C10" s="56"/>
      <c r="D10" s="56"/>
      <c r="E10" s="56"/>
      <c r="F10" s="56"/>
      <c r="G10" s="56"/>
      <c r="I10" s="37"/>
      <c r="J10" s="37"/>
    </row>
    <row r="11" spans="1:10" ht="15">
      <c r="A11" s="56"/>
      <c r="B11" s="39" t="s">
        <v>35</v>
      </c>
      <c r="C11" s="56"/>
      <c r="D11" s="56"/>
      <c r="E11" s="56"/>
      <c r="F11" s="40">
        <v>1990</v>
      </c>
      <c r="G11" s="56"/>
      <c r="I11" s="37" t="s">
        <v>58</v>
      </c>
      <c r="J11" s="41">
        <f>YEAR(F13)-F11</f>
        <v>30</v>
      </c>
    </row>
    <row r="12" spans="1:10" ht="15">
      <c r="A12" s="56"/>
      <c r="B12" s="56"/>
      <c r="C12" s="56"/>
      <c r="D12" s="56"/>
      <c r="E12" s="56"/>
      <c r="F12" s="56"/>
      <c r="G12" s="56"/>
      <c r="I12" s="37"/>
      <c r="J12" s="37"/>
    </row>
    <row r="13" spans="1:10" ht="15">
      <c r="A13" s="56"/>
      <c r="B13" s="39" t="s">
        <v>36</v>
      </c>
      <c r="C13" s="56"/>
      <c r="D13" s="56"/>
      <c r="E13" s="56"/>
      <c r="F13" s="42">
        <v>43831</v>
      </c>
      <c r="G13" s="56"/>
      <c r="I13" s="37"/>
      <c r="J13" s="37"/>
    </row>
    <row r="14" spans="1:10" ht="15">
      <c r="A14" s="56"/>
      <c r="B14" s="56"/>
      <c r="C14" s="56"/>
      <c r="D14" s="56"/>
      <c r="E14" s="56"/>
      <c r="F14" s="56"/>
      <c r="G14" s="56"/>
      <c r="I14" s="37"/>
      <c r="J14" s="37"/>
    </row>
    <row r="15" spans="1:10" ht="15">
      <c r="A15" s="56"/>
      <c r="B15" s="56"/>
      <c r="C15" s="56"/>
      <c r="D15" s="56"/>
      <c r="E15" s="56"/>
      <c r="F15" s="56"/>
      <c r="G15" s="56"/>
      <c r="I15" s="37"/>
      <c r="J15" s="37"/>
    </row>
    <row r="16" spans="1:10" ht="15">
      <c r="A16" s="56"/>
      <c r="B16" s="39" t="s">
        <v>20</v>
      </c>
      <c r="C16" s="56"/>
      <c r="D16" s="56"/>
      <c r="E16" s="56"/>
      <c r="F16" s="43">
        <v>6500</v>
      </c>
      <c r="G16" s="56"/>
      <c r="I16" s="37"/>
      <c r="J16" s="37"/>
    </row>
    <row r="17" spans="1:10" ht="6.75" customHeight="1">
      <c r="A17" s="56"/>
      <c r="B17" s="56"/>
      <c r="C17" s="56"/>
      <c r="D17" s="56"/>
      <c r="E17" s="56"/>
      <c r="F17" s="58"/>
      <c r="G17" s="56"/>
      <c r="I17" s="37"/>
      <c r="J17" s="37"/>
    </row>
    <row r="18" spans="1:10" ht="15">
      <c r="A18" s="56"/>
      <c r="B18" s="56"/>
      <c r="C18" s="56"/>
      <c r="D18" s="56"/>
      <c r="E18" s="56"/>
      <c r="F18" s="58" t="s">
        <v>24</v>
      </c>
      <c r="G18" s="56"/>
      <c r="I18" s="37"/>
      <c r="J18" s="37"/>
    </row>
    <row r="19" spans="1:10" ht="6.75" customHeight="1">
      <c r="A19" s="56"/>
      <c r="B19" s="56"/>
      <c r="C19" s="56"/>
      <c r="D19" s="56"/>
      <c r="E19" s="56"/>
      <c r="F19" s="58"/>
      <c r="G19" s="56"/>
      <c r="I19" s="37"/>
      <c r="J19" s="37"/>
    </row>
    <row r="20" spans="1:10" ht="15">
      <c r="A20" s="56"/>
      <c r="B20" s="39" t="s">
        <v>21</v>
      </c>
      <c r="C20" s="56"/>
      <c r="D20" s="56"/>
      <c r="E20" s="56"/>
      <c r="F20" s="44">
        <v>12</v>
      </c>
      <c r="G20" s="56"/>
      <c r="I20" s="37"/>
      <c r="J20" s="37"/>
    </row>
    <row r="21" spans="1:10" ht="15">
      <c r="A21" s="56"/>
      <c r="B21" s="113" t="s">
        <v>22</v>
      </c>
      <c r="C21" s="114"/>
      <c r="D21" s="114"/>
      <c r="E21" s="114"/>
      <c r="F21" s="58"/>
      <c r="G21" s="56"/>
      <c r="I21" s="37"/>
      <c r="J21" s="37"/>
    </row>
    <row r="22" spans="1:10" ht="15">
      <c r="A22" s="56"/>
      <c r="B22" s="114"/>
      <c r="C22" s="114"/>
      <c r="D22" s="114"/>
      <c r="E22" s="114"/>
      <c r="F22" s="58" t="s">
        <v>25</v>
      </c>
      <c r="G22" s="56"/>
      <c r="I22" s="37"/>
      <c r="J22" s="37"/>
    </row>
    <row r="23" spans="1:18" ht="15">
      <c r="A23" s="56"/>
      <c r="B23" s="56"/>
      <c r="C23" s="56"/>
      <c r="D23" s="56"/>
      <c r="E23" s="56"/>
      <c r="F23" s="58"/>
      <c r="G23" s="56"/>
      <c r="I23" s="37"/>
      <c r="J23" s="37"/>
      <c r="P23" s="45"/>
      <c r="Q23" s="45"/>
      <c r="R23" s="45"/>
    </row>
    <row r="24" spans="1:10" ht="15">
      <c r="A24" s="56"/>
      <c r="B24" s="39" t="s">
        <v>23</v>
      </c>
      <c r="C24" s="56"/>
      <c r="D24" s="56"/>
      <c r="E24" s="56"/>
      <c r="F24" s="46">
        <f>F16*F20</f>
        <v>78000</v>
      </c>
      <c r="G24" s="56"/>
      <c r="I24" s="37"/>
      <c r="J24" s="37"/>
    </row>
    <row r="25" spans="1:10" ht="15">
      <c r="A25" s="56"/>
      <c r="B25" s="56"/>
      <c r="C25" s="56"/>
      <c r="D25" s="56"/>
      <c r="E25" s="56"/>
      <c r="F25" s="56"/>
      <c r="G25" s="56"/>
      <c r="I25" s="37"/>
      <c r="J25" s="37"/>
    </row>
    <row r="26" spans="1:10" ht="15">
      <c r="A26" s="56"/>
      <c r="B26" s="56"/>
      <c r="C26" s="56"/>
      <c r="D26" s="56"/>
      <c r="E26" s="56"/>
      <c r="F26" s="56"/>
      <c r="G26" s="56"/>
      <c r="I26" s="37"/>
      <c r="J26" s="37"/>
    </row>
    <row r="27" spans="1:10" ht="15">
      <c r="A27" s="56"/>
      <c r="B27" s="39" t="s">
        <v>26</v>
      </c>
      <c r="C27" s="56"/>
      <c r="D27" s="56"/>
      <c r="E27" s="56"/>
      <c r="F27" s="56"/>
      <c r="G27" s="56"/>
      <c r="I27" s="37" t="s">
        <v>44</v>
      </c>
      <c r="J27" s="62">
        <f>F24*0.8/12</f>
        <v>5200</v>
      </c>
    </row>
    <row r="28" spans="1:10" ht="15">
      <c r="A28" s="56"/>
      <c r="B28" s="56"/>
      <c r="C28" s="56"/>
      <c r="D28" s="56"/>
      <c r="E28" s="56"/>
      <c r="F28" s="56"/>
      <c r="G28" s="56"/>
      <c r="I28" s="37" t="s">
        <v>44</v>
      </c>
      <c r="J28" s="100">
        <f>J29*30</f>
        <v>5250</v>
      </c>
    </row>
    <row r="29" spans="1:10" ht="15">
      <c r="A29" s="56"/>
      <c r="B29" s="109" t="s">
        <v>124</v>
      </c>
      <c r="C29" s="110"/>
      <c r="D29" s="110"/>
      <c r="E29" s="111"/>
      <c r="F29" s="56"/>
      <c r="G29" s="56"/>
      <c r="I29" s="37" t="s">
        <v>43</v>
      </c>
      <c r="J29" s="100">
        <f>(ROUNDUP((F24*0.8/365)*2,-1)/2)</f>
        <v>175</v>
      </c>
    </row>
    <row r="30" spans="1:10" ht="15">
      <c r="A30" s="56"/>
      <c r="B30" s="56"/>
      <c r="C30" s="56"/>
      <c r="D30" s="56"/>
      <c r="E30" s="56"/>
      <c r="F30" s="56"/>
      <c r="G30" s="56"/>
      <c r="I30" s="37"/>
      <c r="J30" s="37"/>
    </row>
    <row r="31" spans="1:10" ht="15">
      <c r="A31" s="56"/>
      <c r="B31" s="118" t="s">
        <v>121</v>
      </c>
      <c r="C31" s="118"/>
      <c r="D31" s="118"/>
      <c r="E31" s="56"/>
      <c r="F31" s="71">
        <f>J27</f>
        <v>5200</v>
      </c>
      <c r="G31" s="56"/>
      <c r="I31" s="37"/>
      <c r="J31" s="37"/>
    </row>
    <row r="32" spans="1:10" ht="15">
      <c r="A32" s="56"/>
      <c r="B32" s="56"/>
      <c r="C32" s="56"/>
      <c r="D32" s="56"/>
      <c r="E32" s="56"/>
      <c r="F32" s="56"/>
      <c r="G32" s="56"/>
      <c r="I32" s="37"/>
      <c r="J32" s="37"/>
    </row>
    <row r="33" spans="1:10" ht="15">
      <c r="A33" s="56"/>
      <c r="B33" s="112" t="s">
        <v>28</v>
      </c>
      <c r="C33" s="105"/>
      <c r="D33" s="105"/>
      <c r="E33" s="47"/>
      <c r="F33" s="56"/>
      <c r="G33" s="56"/>
      <c r="I33" s="37"/>
      <c r="J33" s="37"/>
    </row>
    <row r="34" spans="1:10" ht="15">
      <c r="A34" s="56"/>
      <c r="B34" s="56"/>
      <c r="C34" s="56"/>
      <c r="D34" s="56"/>
      <c r="E34" s="56"/>
      <c r="F34" s="56"/>
      <c r="G34" s="56"/>
      <c r="I34" s="37">
        <f>VLOOKUP(B36,Steuerung!B27:C32,2,FALSE)</f>
        <v>2</v>
      </c>
      <c r="J34" s="37"/>
    </row>
    <row r="35" spans="1:10" ht="15">
      <c r="A35" s="56"/>
      <c r="B35" s="48" t="s">
        <v>37</v>
      </c>
      <c r="C35" s="48"/>
      <c r="D35" s="48" t="s">
        <v>39</v>
      </c>
      <c r="E35" s="48"/>
      <c r="F35" s="66" t="s">
        <v>38</v>
      </c>
      <c r="G35" s="56"/>
      <c r="I35" s="37"/>
      <c r="J35" s="37"/>
    </row>
    <row r="36" spans="1:10" ht="15">
      <c r="A36" s="56"/>
      <c r="B36" s="48" t="str">
        <f>VLOOKUP(B29,Steuerung!A27:B32,2,FALSE)</f>
        <v>KT.43</v>
      </c>
      <c r="C36" s="50"/>
      <c r="D36" s="50">
        <f>IF((ROUNDUP((F24*0.8/365)*2,-1)/2)&gt;300,300,(ROUNDUP((F24*0.8/365)*2,-1)/2))</f>
        <v>175</v>
      </c>
      <c r="E36" s="51"/>
      <c r="F36" s="71">
        <f>I36*J36</f>
        <v>50.75</v>
      </c>
      <c r="G36" s="56"/>
      <c r="I36" s="52">
        <f>D36/5</f>
        <v>35</v>
      </c>
      <c r="J36" s="37">
        <f>VLOOKUP(J11,'KT-Beiträge-AN'!A:G,'AN HAL'!I34,FALSE)</f>
        <v>1.45</v>
      </c>
    </row>
    <row r="37" spans="1:10" ht="15">
      <c r="A37" s="56"/>
      <c r="B37" s="56"/>
      <c r="C37" s="56"/>
      <c r="D37" s="56"/>
      <c r="E37" s="56"/>
      <c r="F37" s="56"/>
      <c r="G37" s="56"/>
      <c r="I37" s="37"/>
      <c r="J37" s="37"/>
    </row>
    <row r="38" spans="1:10" ht="15" customHeight="1">
      <c r="A38" s="56"/>
      <c r="B38" s="115" t="str">
        <f>IF(J29&gt;400,(CONCATENATE("Der ermittelte Bedarf liegt mit ",J29," € ","über dem versicherbaren Höchsttagegeld. Die KT-Höhe wurde entsprechend begrenzt.")),"")</f>
        <v/>
      </c>
      <c r="C38" s="116"/>
      <c r="D38" s="116"/>
      <c r="E38" s="116"/>
      <c r="F38" s="116"/>
      <c r="G38" s="56"/>
      <c r="I38" s="37"/>
      <c r="J38" s="37"/>
    </row>
    <row r="39" spans="1:10" ht="15" customHeight="1">
      <c r="A39" s="56"/>
      <c r="B39" s="116"/>
      <c r="C39" s="116"/>
      <c r="D39" s="116"/>
      <c r="E39" s="116"/>
      <c r="F39" s="116"/>
      <c r="G39" s="56"/>
      <c r="I39" s="37"/>
      <c r="J39" s="37"/>
    </row>
    <row r="40" spans="1:10" ht="15" customHeight="1">
      <c r="A40" s="56"/>
      <c r="B40" s="117"/>
      <c r="C40" s="117"/>
      <c r="D40" s="117"/>
      <c r="E40" s="117"/>
      <c r="F40" s="117"/>
      <c r="G40" s="56"/>
      <c r="I40" s="37"/>
      <c r="J40" s="37"/>
    </row>
    <row r="41" spans="1:10" ht="15" customHeight="1">
      <c r="A41" s="56"/>
      <c r="B41" s="56"/>
      <c r="C41" s="56"/>
      <c r="D41" s="56"/>
      <c r="E41" s="56"/>
      <c r="F41" s="56"/>
      <c r="G41" s="56"/>
      <c r="I41" s="37"/>
      <c r="J41" s="37"/>
    </row>
    <row r="42" spans="1:10" ht="15" customHeight="1">
      <c r="A42" s="56"/>
      <c r="B42" s="56"/>
      <c r="C42" s="56"/>
      <c r="D42" s="56"/>
      <c r="E42" s="56"/>
      <c r="F42" s="56"/>
      <c r="G42" s="56"/>
      <c r="I42" s="37"/>
      <c r="J42" s="37"/>
    </row>
    <row r="43" spans="1:10" ht="15" customHeight="1">
      <c r="A43" s="56"/>
      <c r="B43" s="56"/>
      <c r="C43" s="56"/>
      <c r="D43" s="56"/>
      <c r="E43" s="56"/>
      <c r="F43" s="56"/>
      <c r="G43" s="56"/>
      <c r="I43" s="37"/>
      <c r="J43" s="37"/>
    </row>
    <row r="44" spans="1:10" ht="15" customHeight="1">
      <c r="A44" s="38"/>
      <c r="B44" s="38" t="s">
        <v>101</v>
      </c>
      <c r="C44" s="38"/>
      <c r="D44" s="38"/>
      <c r="E44" s="38"/>
      <c r="F44" s="38"/>
      <c r="G44" s="38"/>
      <c r="I44" s="37"/>
      <c r="J44" s="37"/>
    </row>
    <row r="45" spans="1:10" ht="12.75">
      <c r="A45" s="38"/>
      <c r="B45" s="38"/>
      <c r="C45" s="38"/>
      <c r="D45" s="38"/>
      <c r="E45" s="38"/>
      <c r="F45" s="38"/>
      <c r="G45" s="38"/>
      <c r="I45" s="37"/>
      <c r="J45" s="37"/>
    </row>
    <row r="46" ht="12.75" hidden="1"/>
  </sheetData>
  <sheetProtection algorithmName="SHA-512" hashValue="SQHnWHH8kAGEb+iRt4H5u6C85wsKWAoRmHmdZnml2x16UJJK5pGdT1kJQnt1GhanyTkK1VwAG2tyam9cxnNz8w==" saltValue="3kArqaMF70US2YEBuKO9cA==" spinCount="100000" sheet="1" objects="1" scenarios="1"/>
  <mergeCells count="5">
    <mergeCell ref="B29:E29"/>
    <mergeCell ref="B33:D33"/>
    <mergeCell ref="B21:E22"/>
    <mergeCell ref="B38:F40"/>
    <mergeCell ref="B31:D31"/>
  </mergeCells>
  <dataValidations count="3">
    <dataValidation type="list" allowBlank="1" showInputMessage="1" showErrorMessage="1" sqref="B29:E29">
      <formula1>Steuerung!$A$27:$A$32</formula1>
    </dataValidation>
    <dataValidation type="list" allowBlank="1" showInputMessage="1" showErrorMessage="1" sqref="F13">
      <formula1>Steuerung!$A$35:$A$46</formula1>
    </dataValidation>
    <dataValidation type="list" allowBlank="1" showInputMessage="1" showErrorMessage="1" sqref="F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theme="0" tint="-0.1499900072813034"/>
    <pageSetUpPr fitToPage="1"/>
  </sheetPr>
  <dimension ref="A1:R47"/>
  <sheetViews>
    <sheetView workbookViewId="0" topLeftCell="A1">
      <selection activeCell="B39" sqref="B39:F42"/>
    </sheetView>
  </sheetViews>
  <sheetFormatPr defaultColWidth="0" defaultRowHeight="12.75" zeroHeight="1"/>
  <cols>
    <col min="1" max="1" width="15.28125" style="36" customWidth="1"/>
    <col min="2" max="2" width="8.140625" style="36" customWidth="1"/>
    <col min="3" max="3" width="7.8515625" style="36" customWidth="1"/>
    <col min="4" max="4" width="15.140625" style="36" customWidth="1"/>
    <col min="5" max="5" width="12.00390625" style="36" customWidth="1"/>
    <col min="6" max="6" width="15.00390625" style="36" customWidth="1"/>
    <col min="7" max="7" width="27.421875" style="36" customWidth="1"/>
    <col min="8" max="8" width="11.421875" style="36" hidden="1" customWidth="1"/>
    <col min="9" max="9" width="14.421875" style="36" hidden="1" customWidth="1"/>
    <col min="10" max="10" width="8.28125" style="36" hidden="1" customWidth="1"/>
    <col min="11" max="11" width="19.7109375" style="36" hidden="1" customWidth="1"/>
    <col min="12" max="16384" width="11.421875" style="36" hidden="1" customWidth="1"/>
  </cols>
  <sheetData>
    <row r="1" spans="1:10" ht="12.75">
      <c r="A1" s="35"/>
      <c r="B1" s="35"/>
      <c r="C1" s="35"/>
      <c r="D1" s="35"/>
      <c r="E1" s="35"/>
      <c r="F1" s="35"/>
      <c r="G1" s="35"/>
      <c r="I1" s="37"/>
      <c r="J1" s="37"/>
    </row>
    <row r="2" spans="1:10" ht="12.75">
      <c r="A2" s="35"/>
      <c r="B2" s="35"/>
      <c r="C2" s="35"/>
      <c r="D2" s="35"/>
      <c r="E2" s="35"/>
      <c r="F2" s="35"/>
      <c r="G2" s="35"/>
      <c r="I2" s="37"/>
      <c r="J2" s="37"/>
    </row>
    <row r="3" spans="1:10" ht="20.25">
      <c r="A3" s="35"/>
      <c r="B3" s="90" t="s">
        <v>102</v>
      </c>
      <c r="C3" s="35"/>
      <c r="D3" s="35"/>
      <c r="E3" s="35"/>
      <c r="F3" s="35"/>
      <c r="G3" s="35"/>
      <c r="I3" s="37"/>
      <c r="J3" s="37"/>
    </row>
    <row r="4" spans="1:10" ht="15.75">
      <c r="A4" s="35"/>
      <c r="B4" s="91" t="s">
        <v>19</v>
      </c>
      <c r="C4" s="35"/>
      <c r="D4" s="35"/>
      <c r="E4" s="35"/>
      <c r="F4" s="35"/>
      <c r="G4" s="35"/>
      <c r="I4" s="37"/>
      <c r="J4" s="37"/>
    </row>
    <row r="5" spans="1:10" ht="12.75">
      <c r="A5" s="35"/>
      <c r="B5" s="35"/>
      <c r="C5" s="35"/>
      <c r="D5" s="35"/>
      <c r="E5" s="35"/>
      <c r="F5" s="35"/>
      <c r="G5" s="35"/>
      <c r="I5" s="37"/>
      <c r="J5" s="37"/>
    </row>
    <row r="6" spans="1:10" ht="12.75">
      <c r="A6" s="35"/>
      <c r="B6" s="35"/>
      <c r="C6" s="35"/>
      <c r="D6" s="35"/>
      <c r="E6" s="35"/>
      <c r="F6" s="35"/>
      <c r="G6" s="35"/>
      <c r="I6" s="37"/>
      <c r="J6" s="37"/>
    </row>
    <row r="7" spans="1:10" ht="12.75">
      <c r="A7" s="35"/>
      <c r="B7" s="35"/>
      <c r="C7" s="35"/>
      <c r="D7" s="35"/>
      <c r="E7" s="35"/>
      <c r="F7" s="35"/>
      <c r="G7" s="35"/>
      <c r="I7" s="37"/>
      <c r="J7" s="37"/>
    </row>
    <row r="8" spans="1:10" ht="12.75">
      <c r="A8" s="35"/>
      <c r="B8" s="35"/>
      <c r="C8" s="35"/>
      <c r="D8" s="35"/>
      <c r="E8" s="35"/>
      <c r="F8" s="35"/>
      <c r="G8" s="35"/>
      <c r="I8" s="37"/>
      <c r="J8" s="37"/>
    </row>
    <row r="9" spans="1:10" ht="15">
      <c r="A9" s="56"/>
      <c r="B9" s="56"/>
      <c r="C9" s="56"/>
      <c r="D9" s="56"/>
      <c r="E9" s="56"/>
      <c r="F9" s="56"/>
      <c r="G9" s="56"/>
      <c r="I9" s="37"/>
      <c r="J9" s="37"/>
    </row>
    <row r="10" spans="1:10" ht="15">
      <c r="A10" s="56"/>
      <c r="B10" s="56"/>
      <c r="C10" s="56"/>
      <c r="D10" s="56"/>
      <c r="E10" s="56"/>
      <c r="F10" s="56"/>
      <c r="G10" s="56"/>
      <c r="I10" s="37"/>
      <c r="J10" s="37"/>
    </row>
    <row r="11" spans="1:10" ht="15">
      <c r="A11" s="56"/>
      <c r="B11" s="39" t="s">
        <v>35</v>
      </c>
      <c r="C11" s="56"/>
      <c r="D11" s="56"/>
      <c r="E11" s="56"/>
      <c r="F11" s="40">
        <v>1981</v>
      </c>
      <c r="G11" s="56"/>
      <c r="I11" s="41">
        <f>YEAR(F13)-F11</f>
        <v>39</v>
      </c>
      <c r="J11" s="37"/>
    </row>
    <row r="12" spans="1:10" ht="15">
      <c r="A12" s="56"/>
      <c r="B12" s="56"/>
      <c r="C12" s="56"/>
      <c r="D12" s="56"/>
      <c r="E12" s="56"/>
      <c r="F12" s="56"/>
      <c r="G12" s="56"/>
      <c r="I12" s="37"/>
      <c r="J12" s="37"/>
    </row>
    <row r="13" spans="1:10" ht="15">
      <c r="A13" s="56"/>
      <c r="B13" s="39" t="s">
        <v>36</v>
      </c>
      <c r="C13" s="56"/>
      <c r="D13" s="56"/>
      <c r="E13" s="56"/>
      <c r="F13" s="42">
        <v>43831</v>
      </c>
      <c r="G13" s="56"/>
      <c r="I13" s="37"/>
      <c r="J13" s="37"/>
    </row>
    <row r="14" spans="1:10" ht="15">
      <c r="A14" s="56"/>
      <c r="B14" s="56"/>
      <c r="C14" s="56"/>
      <c r="D14" s="56"/>
      <c r="E14" s="56"/>
      <c r="F14" s="56"/>
      <c r="G14" s="56"/>
      <c r="I14" s="37"/>
      <c r="J14" s="37"/>
    </row>
    <row r="15" spans="1:10" ht="15">
      <c r="A15" s="56"/>
      <c r="B15" s="56"/>
      <c r="C15" s="56"/>
      <c r="D15" s="56"/>
      <c r="E15" s="56"/>
      <c r="F15" s="56"/>
      <c r="G15" s="56"/>
      <c r="I15" s="37"/>
      <c r="J15" s="37"/>
    </row>
    <row r="16" spans="1:10" ht="15">
      <c r="A16" s="56"/>
      <c r="B16" s="39" t="s">
        <v>115</v>
      </c>
      <c r="C16" s="56"/>
      <c r="D16" s="56"/>
      <c r="E16" s="56"/>
      <c r="F16" s="43">
        <v>4000</v>
      </c>
      <c r="G16" s="56"/>
      <c r="I16" s="37" t="s">
        <v>116</v>
      </c>
      <c r="J16" s="59">
        <f>F16</f>
        <v>4000</v>
      </c>
    </row>
    <row r="17" spans="1:10" ht="102" customHeight="1" hidden="1">
      <c r="A17" s="56"/>
      <c r="B17" s="56"/>
      <c r="C17" s="56"/>
      <c r="D17" s="56"/>
      <c r="E17" s="56"/>
      <c r="F17" s="58"/>
      <c r="G17" s="56"/>
      <c r="I17" s="37"/>
      <c r="J17" s="59"/>
    </row>
    <row r="18" spans="1:10" ht="33.75" customHeight="1" hidden="1">
      <c r="A18" s="56"/>
      <c r="B18" s="56"/>
      <c r="C18" s="56"/>
      <c r="D18" s="56"/>
      <c r="E18" s="56"/>
      <c r="F18" s="58"/>
      <c r="G18" s="56"/>
      <c r="I18" s="37" t="s">
        <v>117</v>
      </c>
      <c r="J18" s="59">
        <f>J16*0.9</f>
        <v>3600</v>
      </c>
    </row>
    <row r="19" spans="1:10" ht="46.5" customHeight="1" hidden="1">
      <c r="A19" s="56"/>
      <c r="B19" s="56"/>
      <c r="C19" s="56"/>
      <c r="D19" s="56"/>
      <c r="E19" s="56"/>
      <c r="F19" s="58"/>
      <c r="G19" s="56"/>
      <c r="I19" s="37"/>
      <c r="J19" s="59"/>
    </row>
    <row r="20" spans="1:10" ht="15" hidden="1">
      <c r="A20" s="56"/>
      <c r="B20" s="39"/>
      <c r="C20" s="56"/>
      <c r="D20" s="56"/>
      <c r="E20" s="56"/>
      <c r="F20" s="44"/>
      <c r="G20" s="56"/>
      <c r="I20" s="60" t="s">
        <v>118</v>
      </c>
      <c r="J20" s="59">
        <f>Steuerung!F2</f>
        <v>3281.25</v>
      </c>
    </row>
    <row r="21" spans="1:10" ht="15" hidden="1">
      <c r="A21" s="56"/>
      <c r="B21" s="113"/>
      <c r="C21" s="114"/>
      <c r="D21" s="114"/>
      <c r="E21" s="114"/>
      <c r="F21" s="58"/>
      <c r="G21" s="56"/>
      <c r="I21" s="37"/>
      <c r="J21" s="59"/>
    </row>
    <row r="22" spans="1:12" ht="69.75" customHeight="1" hidden="1">
      <c r="A22" s="56"/>
      <c r="B22" s="114"/>
      <c r="C22" s="114"/>
      <c r="D22" s="114"/>
      <c r="E22" s="114"/>
      <c r="F22" s="58"/>
      <c r="G22" s="56"/>
      <c r="I22" s="37" t="s">
        <v>88</v>
      </c>
      <c r="J22" s="59">
        <f>IF(J20&lt;J18,J20,J18)</f>
        <v>3281.25</v>
      </c>
      <c r="L22" s="61"/>
    </row>
    <row r="23" spans="1:18" ht="47.25" customHeight="1" hidden="1">
      <c r="A23" s="56"/>
      <c r="B23" s="56"/>
      <c r="C23" s="56"/>
      <c r="D23" s="56"/>
      <c r="E23" s="56"/>
      <c r="F23" s="58"/>
      <c r="G23" s="56"/>
      <c r="I23" s="37" t="s">
        <v>96</v>
      </c>
      <c r="J23" s="59">
        <f>J22</f>
        <v>3281.25</v>
      </c>
      <c r="P23" s="45"/>
      <c r="Q23" s="45"/>
      <c r="R23" s="45"/>
    </row>
    <row r="24" spans="1:10" ht="42" customHeight="1" hidden="1">
      <c r="A24" s="56"/>
      <c r="B24" s="39"/>
      <c r="C24" s="56"/>
      <c r="D24" s="56"/>
      <c r="E24" s="56"/>
      <c r="F24" s="46"/>
      <c r="G24" s="56"/>
      <c r="I24" s="37" t="s">
        <v>89</v>
      </c>
      <c r="J24" s="59">
        <f>J23*Steuerung!F6</f>
        <v>402.7734375</v>
      </c>
    </row>
    <row r="25" spans="1:10" ht="27.75" customHeight="1" hidden="1">
      <c r="A25" s="56"/>
      <c r="B25" s="39"/>
      <c r="C25" s="56"/>
      <c r="D25" s="56"/>
      <c r="E25" s="56"/>
      <c r="F25" s="46"/>
      <c r="G25" s="56"/>
      <c r="I25" s="62" t="s">
        <v>97</v>
      </c>
      <c r="J25" s="59">
        <f>J22-J24</f>
        <v>2878.4765625</v>
      </c>
    </row>
    <row r="26" spans="1:10" ht="18.75" customHeight="1">
      <c r="A26" s="56"/>
      <c r="B26" s="39"/>
      <c r="C26" s="56"/>
      <c r="D26" s="56"/>
      <c r="E26" s="56"/>
      <c r="F26" s="46"/>
      <c r="G26" s="56"/>
      <c r="I26" s="62"/>
      <c r="J26" s="59"/>
    </row>
    <row r="27" spans="1:10" ht="15">
      <c r="A27" s="56"/>
      <c r="B27" s="56"/>
      <c r="C27" s="56"/>
      <c r="D27" s="56"/>
      <c r="E27" s="56"/>
      <c r="F27" s="56"/>
      <c r="G27" s="56"/>
      <c r="I27" s="60"/>
      <c r="J27" s="59"/>
    </row>
    <row r="28" spans="1:10" ht="15">
      <c r="A28" s="56"/>
      <c r="B28" s="39" t="s">
        <v>26</v>
      </c>
      <c r="C28" s="56"/>
      <c r="D28" s="56"/>
      <c r="E28" s="56"/>
      <c r="F28" s="56"/>
      <c r="G28" s="56"/>
      <c r="I28" s="37" t="s">
        <v>43</v>
      </c>
      <c r="J28" s="59">
        <f>J30/30</f>
        <v>37.384114583333336</v>
      </c>
    </row>
    <row r="29" spans="1:10" ht="15">
      <c r="A29" s="56"/>
      <c r="B29" s="56"/>
      <c r="C29" s="56"/>
      <c r="D29" s="56"/>
      <c r="E29" s="56"/>
      <c r="F29" s="56"/>
      <c r="G29" s="56"/>
      <c r="I29" s="37"/>
      <c r="J29" s="59"/>
    </row>
    <row r="30" spans="1:10" ht="15">
      <c r="A30" s="56"/>
      <c r="B30" s="109" t="s">
        <v>124</v>
      </c>
      <c r="C30" s="110"/>
      <c r="D30" s="110"/>
      <c r="E30" s="111"/>
      <c r="F30" s="56"/>
      <c r="G30" s="56"/>
      <c r="I30" s="37" t="s">
        <v>44</v>
      </c>
      <c r="J30" s="59">
        <f>J16-J25</f>
        <v>1121.5234375</v>
      </c>
    </row>
    <row r="31" spans="1:10" ht="15">
      <c r="A31" s="56"/>
      <c r="B31" s="56"/>
      <c r="C31" s="56"/>
      <c r="D31" s="56"/>
      <c r="E31" s="56"/>
      <c r="F31" s="56"/>
      <c r="G31" s="56"/>
      <c r="I31" s="37"/>
      <c r="J31" s="59"/>
    </row>
    <row r="32" spans="1:10" ht="15">
      <c r="A32" s="56"/>
      <c r="B32" s="118" t="s">
        <v>121</v>
      </c>
      <c r="C32" s="118"/>
      <c r="D32" s="118"/>
      <c r="E32" s="56"/>
      <c r="F32" s="101">
        <f>J30</f>
        <v>1121.5234375</v>
      </c>
      <c r="G32" s="56"/>
      <c r="I32" s="37" t="s">
        <v>43</v>
      </c>
      <c r="J32" s="59">
        <f>IF(J39=1,IF(J30/30&gt;30,30,J30/30),J30/30)</f>
        <v>30</v>
      </c>
    </row>
    <row r="33" spans="1:10" ht="15">
      <c r="A33" s="56"/>
      <c r="B33" s="56"/>
      <c r="C33" s="56"/>
      <c r="D33" s="56"/>
      <c r="E33" s="56"/>
      <c r="F33" s="56"/>
      <c r="G33" s="56"/>
      <c r="I33" s="37"/>
      <c r="J33" s="59">
        <f>ROUNDUP((J28)*2,-1)/2</f>
        <v>40</v>
      </c>
    </row>
    <row r="34" spans="1:10" ht="15">
      <c r="A34" s="56"/>
      <c r="B34" s="112" t="s">
        <v>28</v>
      </c>
      <c r="C34" s="105"/>
      <c r="D34" s="105"/>
      <c r="E34" s="47"/>
      <c r="F34" s="56"/>
      <c r="G34" s="56"/>
      <c r="I34" s="37"/>
      <c r="J34" s="59"/>
    </row>
    <row r="35" spans="1:10" ht="15">
      <c r="A35" s="56"/>
      <c r="B35" s="56"/>
      <c r="C35" s="56"/>
      <c r="D35" s="56"/>
      <c r="E35" s="56"/>
      <c r="F35" s="56"/>
      <c r="G35" s="56"/>
      <c r="I35" s="37">
        <f>VLOOKUP(B37,Steuerung!B27:C32,2,FALSE)</f>
        <v>2</v>
      </c>
      <c r="J35" s="59"/>
    </row>
    <row r="36" spans="1:10" ht="15">
      <c r="A36" s="56"/>
      <c r="B36" s="48" t="s">
        <v>37</v>
      </c>
      <c r="C36" s="48"/>
      <c r="D36" s="48" t="s">
        <v>39</v>
      </c>
      <c r="E36" s="48"/>
      <c r="F36" s="66" t="s">
        <v>38</v>
      </c>
      <c r="G36" s="56"/>
      <c r="I36" s="37"/>
      <c r="J36" s="59"/>
    </row>
    <row r="37" spans="1:10" ht="15">
      <c r="A37" s="56"/>
      <c r="B37" s="48" t="str">
        <f>VLOOKUP(B30,Steuerung!A27:B32,2,FALSE)</f>
        <v>KT.43</v>
      </c>
      <c r="C37" s="50"/>
      <c r="D37" s="51">
        <f>IF((ROUNDUP((J33)*2,-1)/2)&gt;300,300,(ROUNDUP((J33)*2,-1)/2))</f>
        <v>40</v>
      </c>
      <c r="E37" s="51"/>
      <c r="F37" s="71">
        <f>I37*J37</f>
        <v>15.12</v>
      </c>
      <c r="G37" s="56"/>
      <c r="I37" s="52">
        <f>D37/5</f>
        <v>8</v>
      </c>
      <c r="J37" s="59">
        <f>VLOOKUP(I11,'KT-Beiträge-AN'!A:G,'AN GKV'!I35,FALSE)</f>
        <v>1.89</v>
      </c>
    </row>
    <row r="38" spans="1:10" ht="15">
      <c r="A38" s="56"/>
      <c r="B38" s="56"/>
      <c r="C38" s="56"/>
      <c r="D38" s="56"/>
      <c r="E38" s="56"/>
      <c r="F38" s="56"/>
      <c r="G38" s="56"/>
      <c r="I38" s="37"/>
      <c r="J38" s="59"/>
    </row>
    <row r="39" spans="1:10" ht="12.75" customHeight="1">
      <c r="A39" s="56"/>
      <c r="B39" s="115" t="str">
        <f>IF(J33&gt;400,(CONCATENATE("Der ermittelte Bedarf liegt mit ",J33," € ","über dem versicherbaren Höchsttagegeld. Die KT-Höhe wurde entsprechend begrenzt.")),"")</f>
        <v/>
      </c>
      <c r="C39" s="116"/>
      <c r="D39" s="116"/>
      <c r="E39" s="116"/>
      <c r="F39" s="116"/>
      <c r="G39" s="56"/>
      <c r="I39" s="37" t="s">
        <v>107</v>
      </c>
      <c r="J39" s="95">
        <f>IF(J16*12&gt;Steuerung!F1,2,1)</f>
        <v>1</v>
      </c>
    </row>
    <row r="40" spans="1:10" ht="15">
      <c r="A40" s="56"/>
      <c r="B40" s="116"/>
      <c r="C40" s="116"/>
      <c r="D40" s="116"/>
      <c r="E40" s="116"/>
      <c r="F40" s="116"/>
      <c r="G40" s="56"/>
      <c r="I40" s="37"/>
      <c r="J40" s="37"/>
    </row>
    <row r="41" spans="1:10" ht="15">
      <c r="A41" s="56"/>
      <c r="B41" s="117"/>
      <c r="C41" s="117"/>
      <c r="D41" s="117"/>
      <c r="E41" s="117"/>
      <c r="F41" s="117"/>
      <c r="G41" s="56"/>
      <c r="I41" s="37"/>
      <c r="J41" s="37"/>
    </row>
    <row r="42" spans="1:10" ht="15">
      <c r="A42" s="56"/>
      <c r="B42" s="105"/>
      <c r="C42" s="105"/>
      <c r="D42" s="105"/>
      <c r="E42" s="105"/>
      <c r="F42" s="105"/>
      <c r="G42" s="56"/>
      <c r="I42" s="37"/>
      <c r="J42" s="37"/>
    </row>
    <row r="43" spans="1:10" ht="12.75">
      <c r="A43" s="38"/>
      <c r="B43" s="38"/>
      <c r="C43" s="38"/>
      <c r="D43" s="38"/>
      <c r="E43" s="38"/>
      <c r="F43" s="38"/>
      <c r="G43" s="38"/>
      <c r="I43" s="37"/>
      <c r="J43" s="37"/>
    </row>
    <row r="44" spans="1:10" ht="12.75">
      <c r="A44" s="38"/>
      <c r="B44" s="38"/>
      <c r="C44" s="38"/>
      <c r="D44" s="38"/>
      <c r="E44" s="38"/>
      <c r="F44" s="38"/>
      <c r="G44" s="38"/>
      <c r="I44" s="37"/>
      <c r="J44" s="37"/>
    </row>
    <row r="45" spans="1:10" ht="12.75">
      <c r="A45" s="38"/>
      <c r="B45" s="38"/>
      <c r="C45" s="38"/>
      <c r="D45" s="38"/>
      <c r="E45" s="38"/>
      <c r="F45" s="38"/>
      <c r="G45" s="38"/>
      <c r="I45" s="37"/>
      <c r="J45" s="37"/>
    </row>
    <row r="46" spans="1:10" ht="12.75">
      <c r="A46" s="38"/>
      <c r="B46" s="38" t="s">
        <v>101</v>
      </c>
      <c r="C46" s="38"/>
      <c r="D46" s="38"/>
      <c r="E46" s="38"/>
      <c r="F46" s="38"/>
      <c r="G46" s="38"/>
      <c r="I46" s="37"/>
      <c r="J46" s="37"/>
    </row>
    <row r="47" spans="1:10" ht="12.75">
      <c r="A47" s="38"/>
      <c r="B47" s="38"/>
      <c r="C47" s="38"/>
      <c r="D47" s="38"/>
      <c r="E47" s="38"/>
      <c r="F47" s="38"/>
      <c r="G47" s="38"/>
      <c r="I47" s="37"/>
      <c r="J47" s="37"/>
    </row>
  </sheetData>
  <sheetProtection algorithmName="SHA-512" hashValue="Gr/M3OfrO4tBoL3ta3ZaO8PSoBVDq+1Gqk/Q5VCUm3C+SmQYOHDaQAMH6mrgXG3GJkwQwM3gmGX2pVJY/Rb7Dg==" saltValue="owMSsD/cSQjt9v3EtXqk7Q==" spinCount="100000" sheet="1" objects="1" scenarios="1"/>
  <mergeCells count="5">
    <mergeCell ref="B21:E22"/>
    <mergeCell ref="B30:E30"/>
    <mergeCell ref="B34:D34"/>
    <mergeCell ref="B39:F42"/>
    <mergeCell ref="B32:D32"/>
  </mergeCells>
  <dataValidations count="3">
    <dataValidation type="list" allowBlank="1" showInputMessage="1" showErrorMessage="1" sqref="B30:B31">
      <formula1>Steuerung!$A$27:$A$32</formula1>
    </dataValidation>
    <dataValidation type="list" allowBlank="1" showInputMessage="1" showErrorMessage="1" sqref="F13">
      <formula1>Steuerung!$A$35:$A$46</formula1>
    </dataValidation>
    <dataValidation type="list" allowBlank="1" showInputMessage="1" showErrorMessage="1" sqref="F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theme="0" tint="-0.1499900072813034"/>
    <pageSetUpPr fitToPage="1"/>
  </sheetPr>
  <dimension ref="A1:S33"/>
  <sheetViews>
    <sheetView workbookViewId="0" topLeftCell="A1">
      <selection activeCell="D23" sqref="D23"/>
    </sheetView>
  </sheetViews>
  <sheetFormatPr defaultColWidth="0" defaultRowHeight="12.75" zeroHeight="1"/>
  <cols>
    <col min="1" max="1" width="15.421875" style="36" customWidth="1"/>
    <col min="2" max="2" width="8.140625" style="36" customWidth="1"/>
    <col min="3" max="3" width="9.57421875" style="36" customWidth="1"/>
    <col min="4" max="4" width="12.140625" style="36" customWidth="1"/>
    <col min="5" max="5" width="5.140625" style="36" customWidth="1"/>
    <col min="6" max="7" width="13.57421875" style="36" customWidth="1"/>
    <col min="8" max="8" width="19.57421875" style="36" customWidth="1"/>
    <col min="9" max="11" width="11.421875" style="36" hidden="1" customWidth="1"/>
    <col min="12" max="12" width="19.7109375" style="36" hidden="1" customWidth="1"/>
    <col min="13" max="14" width="11.421875" style="36" hidden="1" customWidth="1"/>
    <col min="15" max="15" width="11.421875" style="72" hidden="1" customWidth="1"/>
    <col min="16" max="19" width="0" style="36" hidden="1" customWidth="1"/>
    <col min="20" max="16384" width="11.421875" style="36" hidden="1" customWidth="1"/>
  </cols>
  <sheetData>
    <row r="1" spans="1:15" ht="12.75">
      <c r="A1" s="35"/>
      <c r="B1" s="35"/>
      <c r="C1" s="35"/>
      <c r="D1" s="35"/>
      <c r="E1" s="35"/>
      <c r="F1" s="35"/>
      <c r="G1" s="35"/>
      <c r="H1" s="35"/>
      <c r="J1" s="37"/>
      <c r="K1" s="37"/>
      <c r="O1" s="36"/>
    </row>
    <row r="2" spans="1:15" ht="12.75">
      <c r="A2" s="35"/>
      <c r="B2" s="35"/>
      <c r="C2" s="35"/>
      <c r="D2" s="35"/>
      <c r="E2" s="35"/>
      <c r="F2" s="35"/>
      <c r="G2" s="35"/>
      <c r="H2" s="35"/>
      <c r="J2" s="37"/>
      <c r="K2" s="37"/>
      <c r="O2" s="36"/>
    </row>
    <row r="3" spans="1:15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  <c r="O3" s="36"/>
    </row>
    <row r="4" spans="1:15" ht="15.75">
      <c r="A4" s="35"/>
      <c r="B4" s="91" t="s">
        <v>50</v>
      </c>
      <c r="C4" s="35"/>
      <c r="D4" s="35"/>
      <c r="E4" s="35"/>
      <c r="F4" s="35"/>
      <c r="G4" s="35"/>
      <c r="H4" s="35"/>
      <c r="J4" s="37"/>
      <c r="K4" s="37"/>
      <c r="O4" s="36"/>
    </row>
    <row r="5" spans="1:15" ht="12.75">
      <c r="A5" s="35"/>
      <c r="B5" s="35"/>
      <c r="C5" s="35"/>
      <c r="D5" s="35"/>
      <c r="E5" s="35"/>
      <c r="F5" s="35"/>
      <c r="G5" s="35"/>
      <c r="H5" s="35"/>
      <c r="J5" s="37"/>
      <c r="K5" s="37"/>
      <c r="O5" s="36"/>
    </row>
    <row r="6" spans="1:15" ht="12.75">
      <c r="A6" s="35"/>
      <c r="B6" s="35"/>
      <c r="C6" s="35"/>
      <c r="D6" s="35"/>
      <c r="E6" s="35"/>
      <c r="F6" s="35"/>
      <c r="G6" s="35"/>
      <c r="H6" s="35"/>
      <c r="J6" s="37"/>
      <c r="K6" s="37"/>
      <c r="O6" s="36"/>
    </row>
    <row r="7" spans="1:15" ht="12.75">
      <c r="A7" s="35"/>
      <c r="B7" s="35"/>
      <c r="C7" s="35"/>
      <c r="D7" s="35"/>
      <c r="E7" s="35"/>
      <c r="F7" s="35"/>
      <c r="G7" s="35"/>
      <c r="H7" s="35"/>
      <c r="J7" s="37"/>
      <c r="K7" s="37"/>
      <c r="O7" s="36"/>
    </row>
    <row r="8" spans="1:15" ht="12.75">
      <c r="A8" s="35"/>
      <c r="B8" s="35"/>
      <c r="C8" s="35"/>
      <c r="D8" s="35"/>
      <c r="E8" s="35"/>
      <c r="F8" s="35"/>
      <c r="G8" s="35"/>
      <c r="H8" s="35"/>
      <c r="J8" s="37"/>
      <c r="K8" s="37"/>
      <c r="O8" s="36"/>
    </row>
    <row r="9" spans="1:15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  <c r="O9" s="36"/>
    </row>
    <row r="10" spans="1:15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  <c r="O10" s="36"/>
    </row>
    <row r="11" spans="1:15" ht="15" customHeight="1">
      <c r="A11" s="56"/>
      <c r="B11" s="39" t="s">
        <v>35</v>
      </c>
      <c r="C11" s="56"/>
      <c r="D11" s="56"/>
      <c r="E11" s="56"/>
      <c r="F11" s="56"/>
      <c r="G11" s="40">
        <v>1980</v>
      </c>
      <c r="H11" s="56"/>
      <c r="J11" s="41">
        <f>YEAR(G13)-G11</f>
        <v>40</v>
      </c>
      <c r="K11" s="37"/>
      <c r="O11" s="36"/>
    </row>
    <row r="12" spans="1:15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  <c r="O12" s="36"/>
    </row>
    <row r="13" spans="1:15" ht="15" customHeight="1">
      <c r="A13" s="56"/>
      <c r="B13" s="39" t="s">
        <v>36</v>
      </c>
      <c r="C13" s="56"/>
      <c r="D13" s="56"/>
      <c r="E13" s="56"/>
      <c r="F13" s="56"/>
      <c r="G13" s="42">
        <v>43831</v>
      </c>
      <c r="H13" s="56"/>
      <c r="J13" s="37"/>
      <c r="K13" s="37"/>
      <c r="N13" s="36">
        <v>80000</v>
      </c>
      <c r="O13" s="36"/>
    </row>
    <row r="14" spans="1:15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  <c r="M14" s="63"/>
      <c r="N14" s="36">
        <f>N13/365</f>
        <v>219.17808219178082</v>
      </c>
      <c r="O14" s="36"/>
    </row>
    <row r="15" spans="1:15" ht="15" customHeight="1">
      <c r="A15" s="56"/>
      <c r="B15" s="112" t="s">
        <v>108</v>
      </c>
      <c r="C15" s="105"/>
      <c r="D15" s="105"/>
      <c r="E15" s="105"/>
      <c r="F15" s="119"/>
      <c r="G15" s="43">
        <v>80000</v>
      </c>
      <c r="H15" s="56"/>
      <c r="J15" s="37"/>
      <c r="K15" s="37"/>
      <c r="N15" s="36">
        <f>0.8*N14</f>
        <v>175.34246575342468</v>
      </c>
      <c r="O15" s="36"/>
    </row>
    <row r="16" spans="1:15" ht="15" customHeight="1">
      <c r="A16" s="56"/>
      <c r="B16" s="64"/>
      <c r="C16" s="50"/>
      <c r="D16" s="50"/>
      <c r="E16" s="50"/>
      <c r="F16" s="50"/>
      <c r="G16" s="50"/>
      <c r="H16" s="56"/>
      <c r="J16" s="37"/>
      <c r="K16" s="37"/>
      <c r="O16" s="36"/>
    </row>
    <row r="17" spans="1:19" ht="15" customHeight="1">
      <c r="A17" s="56"/>
      <c r="B17" s="112" t="s">
        <v>60</v>
      </c>
      <c r="C17" s="105"/>
      <c r="D17" s="46">
        <f>(ROUNDUP((0.8*(G15/365))*2,-1)/2)</f>
        <v>180</v>
      </c>
      <c r="E17" s="124" t="str">
        <f>IF(D17&gt;400,"ACHTUNG: versicherbar
sind nur 400 €!","")</f>
        <v/>
      </c>
      <c r="F17" s="125"/>
      <c r="G17" s="125"/>
      <c r="H17" s="105"/>
      <c r="J17" s="37"/>
      <c r="K17" s="37"/>
      <c r="N17" s="65"/>
      <c r="O17" s="65"/>
      <c r="P17" s="65"/>
      <c r="Q17" s="65"/>
      <c r="R17" s="65"/>
      <c r="S17" s="65"/>
    </row>
    <row r="18" spans="1:19" ht="15" customHeight="1">
      <c r="A18" s="56"/>
      <c r="B18" s="56"/>
      <c r="C18" s="56"/>
      <c r="D18" s="56"/>
      <c r="E18" s="105"/>
      <c r="F18" s="105"/>
      <c r="G18" s="105"/>
      <c r="H18" s="105"/>
      <c r="J18" s="37"/>
      <c r="K18" s="37"/>
      <c r="N18" s="65"/>
      <c r="O18" s="65"/>
      <c r="P18" s="65"/>
      <c r="Q18" s="65"/>
      <c r="R18" s="65"/>
      <c r="S18" s="65"/>
    </row>
    <row r="19" spans="1:19" ht="15" customHeight="1">
      <c r="A19" s="56"/>
      <c r="B19" s="112" t="s">
        <v>37</v>
      </c>
      <c r="C19" s="105"/>
      <c r="D19" s="49" t="s">
        <v>39</v>
      </c>
      <c r="E19" s="56"/>
      <c r="F19" s="66" t="s">
        <v>38</v>
      </c>
      <c r="G19" s="56"/>
      <c r="H19" s="56"/>
      <c r="J19" s="41">
        <f>VLOOKUP(B23,Steuerung!B27:C32,2,FALSE)+2</f>
        <v>4</v>
      </c>
      <c r="K19" s="37"/>
      <c r="N19" s="65"/>
      <c r="O19" s="65"/>
      <c r="P19" s="65"/>
      <c r="Q19" s="65"/>
      <c r="R19" s="65"/>
      <c r="S19" s="65"/>
    </row>
    <row r="20" spans="1:19" ht="15" customHeight="1">
      <c r="A20" s="56"/>
      <c r="B20" s="64"/>
      <c r="C20" s="50"/>
      <c r="D20" s="67" t="s">
        <v>62</v>
      </c>
      <c r="E20" s="56"/>
      <c r="F20" s="58"/>
      <c r="G20" s="56"/>
      <c r="H20" s="56"/>
      <c r="J20" s="37"/>
      <c r="K20" s="37"/>
      <c r="N20" s="65"/>
      <c r="O20" s="65"/>
      <c r="P20" s="65"/>
      <c r="Q20" s="65"/>
      <c r="R20" s="65"/>
      <c r="S20" s="65"/>
    </row>
    <row r="21" spans="1:19" ht="15" customHeight="1">
      <c r="A21" s="56"/>
      <c r="B21" s="39" t="s">
        <v>54</v>
      </c>
      <c r="C21" s="56"/>
      <c r="D21" s="43">
        <v>65</v>
      </c>
      <c r="E21" s="56"/>
      <c r="F21" s="68">
        <f>J21*K21</f>
        <v>56.42</v>
      </c>
      <c r="G21" s="56"/>
      <c r="H21" s="56"/>
      <c r="J21" s="41">
        <f>D21/5</f>
        <v>13</v>
      </c>
      <c r="K21" s="59">
        <f>VLOOKUP(J11,'KT-Beiträge S'!A:B,2,FALSE)</f>
        <v>4.34</v>
      </c>
      <c r="L21" s="37">
        <f>IF(INT(J21)=J21,0,1)</f>
        <v>0</v>
      </c>
      <c r="N21" s="65"/>
      <c r="O21" s="65"/>
      <c r="P21" s="65"/>
      <c r="Q21" s="65"/>
      <c r="R21" s="65"/>
      <c r="S21" s="65"/>
    </row>
    <row r="22" spans="1:19" ht="15" customHeight="1">
      <c r="A22" s="56"/>
      <c r="B22" s="39" t="s">
        <v>55</v>
      </c>
      <c r="C22" s="56"/>
      <c r="D22" s="43">
        <v>60</v>
      </c>
      <c r="E22" s="56"/>
      <c r="F22" s="68">
        <f>J22*K22</f>
        <v>38.76</v>
      </c>
      <c r="G22" s="56"/>
      <c r="H22" s="56"/>
      <c r="J22" s="41">
        <f>D22/5</f>
        <v>12</v>
      </c>
      <c r="K22" s="59">
        <f>VLOOKUP(J11,'KT-Beiträge S'!A:C,3,FALSE)</f>
        <v>3.23</v>
      </c>
      <c r="L22" s="37">
        <f>IF(INT(J22)=J22,0,1)</f>
        <v>0</v>
      </c>
      <c r="N22" s="65"/>
      <c r="O22" s="65"/>
      <c r="P22" s="65"/>
      <c r="Q22" s="65"/>
      <c r="R22" s="65"/>
      <c r="S22" s="65"/>
    </row>
    <row r="23" spans="1:19" ht="15" customHeight="1">
      <c r="A23" s="56"/>
      <c r="B23" s="69" t="s">
        <v>29</v>
      </c>
      <c r="C23" s="56"/>
      <c r="D23" s="43">
        <v>55</v>
      </c>
      <c r="E23" s="56"/>
      <c r="F23" s="68">
        <f>J23*K23</f>
        <v>21.45</v>
      </c>
      <c r="G23" s="56"/>
      <c r="H23" s="56"/>
      <c r="J23" s="41">
        <f>D23/5</f>
        <v>11</v>
      </c>
      <c r="K23" s="59">
        <f>VLOOKUP(J11,'KT-Beiträge S'!A:I,J19,FALSE)</f>
        <v>1.95</v>
      </c>
      <c r="L23" s="37">
        <f>IF(INT(J23)=J23,0,1)</f>
        <v>0</v>
      </c>
      <c r="N23" s="65"/>
      <c r="O23" s="65"/>
      <c r="P23" s="65"/>
      <c r="Q23" s="70"/>
      <c r="R23" s="65"/>
      <c r="S23" s="70"/>
    </row>
    <row r="24" spans="1:19" ht="15" customHeight="1">
      <c r="A24" s="56"/>
      <c r="B24" s="122" t="str">
        <f>IF(L24&gt;0,"KT-Höhe bitte in 5 €-Schritten wählen!","")</f>
        <v/>
      </c>
      <c r="C24" s="123"/>
      <c r="D24" s="123"/>
      <c r="E24" s="123"/>
      <c r="F24" s="123"/>
      <c r="G24" s="56"/>
      <c r="H24" s="56"/>
      <c r="J24" s="37"/>
      <c r="K24" s="37"/>
      <c r="L24" s="37">
        <f>L21+L22+L23</f>
        <v>0</v>
      </c>
      <c r="N24" s="65"/>
      <c r="O24" s="65"/>
      <c r="P24" s="65"/>
      <c r="Q24" s="65"/>
      <c r="R24" s="65"/>
      <c r="S24" s="65"/>
    </row>
    <row r="25" spans="1:19" ht="15" customHeight="1">
      <c r="A25" s="56"/>
      <c r="B25" s="39" t="s">
        <v>61</v>
      </c>
      <c r="C25" s="56"/>
      <c r="D25" s="46">
        <f>D21+D22+D23</f>
        <v>180</v>
      </c>
      <c r="E25" s="56"/>
      <c r="F25" s="71">
        <f>F21+F22+F23</f>
        <v>116.63000000000001</v>
      </c>
      <c r="G25" s="56"/>
      <c r="H25" s="56"/>
      <c r="J25" s="37"/>
      <c r="K25" s="37"/>
      <c r="N25" s="65"/>
      <c r="O25" s="65"/>
      <c r="P25" s="65"/>
      <c r="Q25" s="65"/>
      <c r="R25" s="65"/>
      <c r="S25" s="65"/>
    </row>
    <row r="26" spans="1:19" ht="15" customHeight="1">
      <c r="A26" s="56"/>
      <c r="B26" s="56"/>
      <c r="C26" s="56"/>
      <c r="D26" s="56"/>
      <c r="E26" s="56"/>
      <c r="F26" s="56"/>
      <c r="G26" s="56"/>
      <c r="H26" s="56"/>
      <c r="J26" s="37"/>
      <c r="K26" s="37"/>
      <c r="N26" s="65"/>
      <c r="O26" s="65"/>
      <c r="P26" s="65"/>
      <c r="Q26" s="65"/>
      <c r="R26" s="65"/>
      <c r="S26" s="65"/>
    </row>
    <row r="27" spans="1:19" ht="15" customHeight="1">
      <c r="A27" s="38"/>
      <c r="B27" s="120" t="str">
        <f>IF(D25&gt;400,"Versicherbares Höchsttagegeld überschritten, bitte auf insgesamt 400 € reduzieren.",IF(D25&gt;D17,(CONCATENATE("Versicherbares Tagegeld (Nettoeinkommen) überschritten, bitte auf insgesamt ",D17," € reduzieren.")),IF(D17&gt;D25,(CONCATENATE("ACHTUNG Absicherungslücke in Höhe von ",D17-D25," €!")),"")))</f>
        <v/>
      </c>
      <c r="C27" s="121"/>
      <c r="D27" s="121"/>
      <c r="E27" s="121"/>
      <c r="F27" s="121"/>
      <c r="G27" s="121"/>
      <c r="H27" s="38"/>
      <c r="J27" s="37"/>
      <c r="K27" s="37"/>
      <c r="N27" s="65"/>
      <c r="O27" s="65"/>
      <c r="P27" s="65"/>
      <c r="Q27" s="65"/>
      <c r="R27" s="65"/>
      <c r="S27" s="65"/>
    </row>
    <row r="28" spans="1:11" ht="15" customHeight="1">
      <c r="A28" s="38"/>
      <c r="B28" s="121"/>
      <c r="C28" s="121"/>
      <c r="D28" s="121"/>
      <c r="E28" s="121"/>
      <c r="F28" s="121"/>
      <c r="G28" s="121"/>
      <c r="H28" s="38"/>
      <c r="J28" s="37"/>
      <c r="K28" s="37"/>
    </row>
    <row r="29" spans="1:11" ht="15" customHeight="1">
      <c r="A29" s="38"/>
      <c r="B29" s="50"/>
      <c r="C29" s="50"/>
      <c r="D29" s="50"/>
      <c r="E29" s="50"/>
      <c r="F29" s="50"/>
      <c r="G29" s="50"/>
      <c r="H29" s="38"/>
      <c r="J29" s="37"/>
      <c r="K29" s="37"/>
    </row>
    <row r="30" spans="1:11" ht="15" customHeight="1">
      <c r="A30" s="38"/>
      <c r="B30" s="50"/>
      <c r="C30" s="50"/>
      <c r="D30" s="50"/>
      <c r="E30" s="50"/>
      <c r="F30" s="50"/>
      <c r="G30" s="50"/>
      <c r="H30" s="38"/>
      <c r="J30" s="37"/>
      <c r="K30" s="37"/>
    </row>
    <row r="31" spans="1:11" ht="15" customHeight="1">
      <c r="A31" s="38"/>
      <c r="B31" s="50"/>
      <c r="C31" s="50"/>
      <c r="D31" s="50"/>
      <c r="E31" s="50"/>
      <c r="F31" s="50"/>
      <c r="G31" s="50"/>
      <c r="H31" s="38"/>
      <c r="J31" s="37"/>
      <c r="K31" s="37"/>
    </row>
    <row r="32" spans="1:11" ht="15" customHeight="1">
      <c r="A32" s="38"/>
      <c r="B32" s="38" t="s">
        <v>101</v>
      </c>
      <c r="C32" s="50"/>
      <c r="D32" s="50"/>
      <c r="E32" s="50"/>
      <c r="F32" s="50"/>
      <c r="G32" s="50"/>
      <c r="H32" s="38"/>
      <c r="J32" s="37"/>
      <c r="K32" s="37"/>
    </row>
    <row r="33" spans="1:11" ht="15" customHeight="1">
      <c r="A33" s="38"/>
      <c r="B33" s="50"/>
      <c r="C33" s="50"/>
      <c r="D33" s="50"/>
      <c r="E33" s="50"/>
      <c r="F33" s="50"/>
      <c r="G33" s="50"/>
      <c r="H33" s="38"/>
      <c r="J33" s="37"/>
      <c r="K33" s="37"/>
    </row>
  </sheetData>
  <sheetProtection algorithmName="SHA-512" hashValue="N8c+se4KhRKEUh+Co1DmQ7ntbBYgMv01tatRnQMn0SGHWHlZuroOEa3yX/xkAq83W+1EzOBHd590vn2IIz/6yg==" saltValue="y1imw/xjnEC8Vo9vBdKzEA==" spinCount="100000" sheet="1" objects="1" scenarios="1"/>
  <mergeCells count="6">
    <mergeCell ref="B15:F15"/>
    <mergeCell ref="B17:C17"/>
    <mergeCell ref="B27:G28"/>
    <mergeCell ref="B24:F24"/>
    <mergeCell ref="B19:C19"/>
    <mergeCell ref="E17:H18"/>
  </mergeCells>
  <dataValidations count="6">
    <dataValidation type="whole" allowBlank="1" showInputMessage="1" showErrorMessage="1" sqref="D22">
      <formula1>0</formula1>
      <formula2>200</formula2>
    </dataValidation>
    <dataValidation type="whole" allowBlank="1" showInputMessage="1" showErrorMessage="1" sqref="D23">
      <formula1>0</formula1>
      <formula2>400</formula2>
    </dataValidation>
    <dataValidation type="whole" allowBlank="1" showInputMessage="1" showErrorMessage="1" sqref="D21">
      <formula1>0</formula1>
      <formula2>100</formula2>
    </dataValidation>
    <dataValidation type="list" allowBlank="1" showInputMessage="1" showErrorMessage="1" sqref="B23">
      <formula1>Steuerung!$B$27:$B$32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2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theme="0" tint="-0.1499900072813034"/>
    <pageSetUpPr fitToPage="1"/>
  </sheetPr>
  <dimension ref="A1:S40"/>
  <sheetViews>
    <sheetView workbookViewId="0" topLeftCell="A1">
      <selection activeCell="B34" sqref="B34:G35"/>
    </sheetView>
  </sheetViews>
  <sheetFormatPr defaultColWidth="0" defaultRowHeight="12.75" zeroHeight="1"/>
  <cols>
    <col min="1" max="1" width="16.00390625" style="36" customWidth="1"/>
    <col min="2" max="2" width="8.7109375" style="36" customWidth="1"/>
    <col min="3" max="3" width="11.8515625" style="36" customWidth="1"/>
    <col min="4" max="4" width="9.7109375" style="36" customWidth="1"/>
    <col min="5" max="5" width="9.00390625" style="36" customWidth="1"/>
    <col min="6" max="6" width="13.7109375" style="36" customWidth="1"/>
    <col min="7" max="7" width="11.57421875" style="36" customWidth="1"/>
    <col min="8" max="8" width="15.140625" style="36" customWidth="1"/>
    <col min="9" max="9" width="11.421875" style="36" hidden="1" customWidth="1"/>
    <col min="10" max="10" width="14.8515625" style="36" hidden="1" customWidth="1"/>
    <col min="11" max="11" width="11.421875" style="36" hidden="1" customWidth="1"/>
    <col min="12" max="12" width="19.7109375" style="36" hidden="1" customWidth="1"/>
    <col min="13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ht="15.75">
      <c r="A4" s="35"/>
      <c r="B4" s="91" t="s">
        <v>64</v>
      </c>
      <c r="C4" s="35"/>
      <c r="D4" s="35"/>
      <c r="E4" s="35"/>
      <c r="F4" s="35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2" ht="15" customHeight="1">
      <c r="A9" s="56"/>
      <c r="B9" s="56"/>
      <c r="C9" s="56"/>
      <c r="D9" s="56"/>
      <c r="E9" s="56"/>
      <c r="F9" s="56"/>
      <c r="G9" s="56"/>
      <c r="H9" s="56"/>
      <c r="J9" s="73"/>
      <c r="K9" s="73"/>
      <c r="L9" s="74"/>
    </row>
    <row r="10" spans="1:12" ht="15" customHeight="1">
      <c r="A10" s="56"/>
      <c r="B10" s="56"/>
      <c r="C10" s="56"/>
      <c r="D10" s="56"/>
      <c r="E10" s="56"/>
      <c r="F10" s="56"/>
      <c r="G10" s="56"/>
      <c r="H10" s="56"/>
      <c r="J10" s="73"/>
      <c r="K10" s="73"/>
      <c r="L10" s="74"/>
    </row>
    <row r="11" spans="1:12" ht="15" customHeight="1">
      <c r="A11" s="56"/>
      <c r="B11" s="39" t="s">
        <v>35</v>
      </c>
      <c r="C11" s="56"/>
      <c r="D11" s="56"/>
      <c r="E11" s="56"/>
      <c r="F11" s="56"/>
      <c r="G11" s="40">
        <v>1983</v>
      </c>
      <c r="H11" s="56"/>
      <c r="J11" s="75">
        <f>YEAR(G13)-G11</f>
        <v>37</v>
      </c>
      <c r="K11" s="73"/>
      <c r="L11" s="74"/>
    </row>
    <row r="12" spans="1:12" ht="15" customHeight="1">
      <c r="A12" s="56"/>
      <c r="B12" s="56"/>
      <c r="C12" s="56"/>
      <c r="D12" s="56"/>
      <c r="E12" s="56"/>
      <c r="F12" s="56"/>
      <c r="G12" s="56"/>
      <c r="H12" s="56"/>
      <c r="J12" s="73"/>
      <c r="K12" s="73"/>
      <c r="L12" s="74"/>
    </row>
    <row r="13" spans="1:12" ht="15" customHeight="1">
      <c r="A13" s="56"/>
      <c r="B13" s="39" t="s">
        <v>36</v>
      </c>
      <c r="C13" s="56"/>
      <c r="D13" s="56"/>
      <c r="E13" s="56"/>
      <c r="F13" s="56"/>
      <c r="G13" s="42">
        <v>43831</v>
      </c>
      <c r="H13" s="56"/>
      <c r="J13" s="73" t="s">
        <v>109</v>
      </c>
      <c r="K13" s="76">
        <f>G15/12</f>
        <v>6666.666666666667</v>
      </c>
      <c r="L13" s="74"/>
    </row>
    <row r="14" spans="1:12" ht="15" customHeight="1">
      <c r="A14" s="56"/>
      <c r="B14" s="56"/>
      <c r="C14" s="56"/>
      <c r="D14" s="56"/>
      <c r="E14" s="56"/>
      <c r="F14" s="56"/>
      <c r="G14" s="56"/>
      <c r="H14" s="56"/>
      <c r="J14" s="73"/>
      <c r="K14" s="76"/>
      <c r="L14" s="74"/>
    </row>
    <row r="15" spans="1:12" ht="15">
      <c r="A15" s="56"/>
      <c r="B15" s="112" t="s">
        <v>108</v>
      </c>
      <c r="C15" s="105"/>
      <c r="D15" s="105"/>
      <c r="E15" s="105"/>
      <c r="F15" s="126"/>
      <c r="G15" s="43">
        <v>80000</v>
      </c>
      <c r="H15" s="56"/>
      <c r="J15" s="73" t="s">
        <v>110</v>
      </c>
      <c r="K15" s="76">
        <f>K13*0.8</f>
        <v>5333.333333333334</v>
      </c>
      <c r="L15" s="74"/>
    </row>
    <row r="16" spans="1:12" ht="15">
      <c r="A16" s="56"/>
      <c r="B16" s="56"/>
      <c r="C16" s="56"/>
      <c r="D16" s="56"/>
      <c r="E16" s="56"/>
      <c r="F16" s="56"/>
      <c r="G16" s="56"/>
      <c r="H16" s="56"/>
      <c r="J16" s="96"/>
      <c r="K16" s="97"/>
      <c r="L16" s="74"/>
    </row>
    <row r="17" spans="1:12" ht="15" hidden="1">
      <c r="A17" s="56"/>
      <c r="B17" s="127"/>
      <c r="C17" s="128"/>
      <c r="D17" s="128"/>
      <c r="E17" s="128"/>
      <c r="F17" s="128"/>
      <c r="G17" s="56"/>
      <c r="H17" s="56"/>
      <c r="J17" s="77" t="s">
        <v>45</v>
      </c>
      <c r="K17" s="76">
        <f>K13*0.7</f>
        <v>4666.666666666667</v>
      </c>
      <c r="L17" s="74"/>
    </row>
    <row r="18" spans="1:12" ht="15" hidden="1">
      <c r="A18" s="56"/>
      <c r="B18" s="56"/>
      <c r="C18" s="56"/>
      <c r="D18" s="56"/>
      <c r="E18" s="56"/>
      <c r="F18" s="56"/>
      <c r="G18" s="56"/>
      <c r="H18" s="56"/>
      <c r="J18" s="73" t="s">
        <v>87</v>
      </c>
      <c r="K18" s="76">
        <f>Steuerung!F7/12</f>
        <v>4687.5</v>
      </c>
      <c r="L18" s="74"/>
    </row>
    <row r="19" spans="1:12" ht="15" hidden="1">
      <c r="A19" s="56"/>
      <c r="B19" s="103" t="s">
        <v>66</v>
      </c>
      <c r="C19" s="104"/>
      <c r="D19" s="104"/>
      <c r="E19" s="104"/>
      <c r="F19" s="104"/>
      <c r="G19" s="104"/>
      <c r="H19" s="56"/>
      <c r="J19" s="73" t="s">
        <v>88</v>
      </c>
      <c r="K19" s="76">
        <f>IF(K17&lt;Steuerung!F2,K17,Steuerung!F2)</f>
        <v>3281.25</v>
      </c>
      <c r="L19" s="74"/>
    </row>
    <row r="20" spans="1:12" ht="15" customHeight="1">
      <c r="A20" s="56"/>
      <c r="B20" s="114"/>
      <c r="C20" s="114"/>
      <c r="D20" s="114"/>
      <c r="E20" s="114"/>
      <c r="F20" s="114"/>
      <c r="G20" s="114"/>
      <c r="H20" s="56"/>
      <c r="J20" s="73" t="s">
        <v>96</v>
      </c>
      <c r="K20" s="76">
        <f>K19</f>
        <v>3281.25</v>
      </c>
      <c r="L20" s="74"/>
    </row>
    <row r="21" spans="1:12" ht="15" customHeight="1">
      <c r="A21" s="81"/>
      <c r="B21" s="81"/>
      <c r="C21" s="132" t="s">
        <v>67</v>
      </c>
      <c r="D21" s="81"/>
      <c r="E21" s="129" t="s">
        <v>68</v>
      </c>
      <c r="F21" s="130"/>
      <c r="G21" s="130"/>
      <c r="H21" s="56"/>
      <c r="J21" s="73" t="s">
        <v>89</v>
      </c>
      <c r="K21" s="76">
        <f>K20*Steuerung!F6</f>
        <v>402.7734375</v>
      </c>
      <c r="L21" s="74"/>
    </row>
    <row r="22" spans="1:12" ht="15" customHeight="1">
      <c r="A22" s="81"/>
      <c r="B22" s="81"/>
      <c r="C22" s="133"/>
      <c r="D22" s="81"/>
      <c r="E22" s="131"/>
      <c r="F22" s="130"/>
      <c r="G22" s="130"/>
      <c r="H22" s="56"/>
      <c r="J22" s="78" t="s">
        <v>97</v>
      </c>
      <c r="K22" s="76">
        <f>K19-K21</f>
        <v>2878.4765625</v>
      </c>
      <c r="L22" s="74"/>
    </row>
    <row r="23" spans="1:19" ht="15" customHeight="1">
      <c r="A23" s="56"/>
      <c r="B23" s="56"/>
      <c r="C23" s="56"/>
      <c r="D23" s="56"/>
      <c r="E23" s="56"/>
      <c r="F23" s="56"/>
      <c r="G23" s="56"/>
      <c r="H23" s="56"/>
      <c r="J23" s="73"/>
      <c r="K23" s="76"/>
      <c r="L23" s="74"/>
      <c r="Q23" s="45"/>
      <c r="R23" s="45"/>
      <c r="S23" s="45"/>
    </row>
    <row r="24" spans="1:12" ht="15" customHeight="1">
      <c r="A24" s="56"/>
      <c r="B24" s="112" t="s">
        <v>60</v>
      </c>
      <c r="C24" s="105"/>
      <c r="D24" s="46">
        <f>IF(K24=1,K26,K27)</f>
        <v>180</v>
      </c>
      <c r="E24" s="120" t="str">
        <f>IF(D24&gt;400,"ACHTUNG: versicherbar sind nur 400 €!","")</f>
        <v/>
      </c>
      <c r="F24" s="134"/>
      <c r="G24" s="134"/>
      <c r="H24" s="105"/>
      <c r="J24" s="78" t="s">
        <v>98</v>
      </c>
      <c r="K24" s="79">
        <v>2</v>
      </c>
      <c r="L24" s="74"/>
    </row>
    <row r="25" spans="1:12" ht="15" customHeight="1">
      <c r="A25" s="56"/>
      <c r="B25" s="56"/>
      <c r="C25" s="56"/>
      <c r="D25" s="56"/>
      <c r="E25" s="134"/>
      <c r="F25" s="134"/>
      <c r="G25" s="134"/>
      <c r="H25" s="105"/>
      <c r="J25" s="78"/>
      <c r="K25" s="78"/>
      <c r="L25" s="74"/>
    </row>
    <row r="26" spans="1:12" ht="15" customHeight="1">
      <c r="A26" s="56"/>
      <c r="B26" s="112" t="s">
        <v>37</v>
      </c>
      <c r="C26" s="105"/>
      <c r="D26" s="49" t="s">
        <v>39</v>
      </c>
      <c r="E26" s="56"/>
      <c r="F26" s="66" t="s">
        <v>38</v>
      </c>
      <c r="G26" s="56"/>
      <c r="H26" s="56"/>
      <c r="J26" s="77" t="s">
        <v>70</v>
      </c>
      <c r="K26" s="78">
        <f>IF((ROUNDUP(((K15-K22)/30)*2,-1)/2)&lt;5,5,(ROUNDUP(((K15-K22)/30)*2,-1)/2))</f>
        <v>85</v>
      </c>
      <c r="L26" s="74"/>
    </row>
    <row r="27" spans="1:12" ht="15" customHeight="1">
      <c r="A27" s="56"/>
      <c r="B27" s="64"/>
      <c r="C27" s="50"/>
      <c r="D27" s="67" t="s">
        <v>62</v>
      </c>
      <c r="E27" s="56"/>
      <c r="F27" s="58"/>
      <c r="G27" s="56"/>
      <c r="H27" s="56"/>
      <c r="J27" s="73" t="s">
        <v>71</v>
      </c>
      <c r="K27" s="78">
        <f>(ROUNDUP((K15/30)*2,-1)/2)</f>
        <v>180</v>
      </c>
      <c r="L27" s="74"/>
    </row>
    <row r="28" spans="1:12" ht="15" customHeight="1">
      <c r="A28" s="56"/>
      <c r="B28" s="39" t="s">
        <v>54</v>
      </c>
      <c r="C28" s="56"/>
      <c r="D28" s="43">
        <v>100</v>
      </c>
      <c r="E28" s="56"/>
      <c r="F28" s="68">
        <f>J33*K33</f>
        <v>79.80000000000001</v>
      </c>
      <c r="G28" s="56"/>
      <c r="H28" s="56"/>
      <c r="J28" s="73"/>
      <c r="K28" s="78"/>
      <c r="L28" s="74"/>
    </row>
    <row r="29" spans="1:12" ht="15" customHeight="1">
      <c r="A29" s="56"/>
      <c r="B29" s="39" t="s">
        <v>55</v>
      </c>
      <c r="C29" s="56"/>
      <c r="D29" s="43">
        <v>80</v>
      </c>
      <c r="E29" s="56"/>
      <c r="F29" s="68">
        <f>J34*K34</f>
        <v>47.52</v>
      </c>
      <c r="G29" s="56"/>
      <c r="H29" s="56"/>
      <c r="J29" s="73" t="s">
        <v>72</v>
      </c>
      <c r="K29" s="78" t="str">
        <f>E24</f>
        <v/>
      </c>
      <c r="L29" s="74"/>
    </row>
    <row r="30" spans="1:12" ht="15" customHeight="1">
      <c r="A30" s="56"/>
      <c r="B30" s="69" t="s">
        <v>29</v>
      </c>
      <c r="C30" s="56"/>
      <c r="D30" s="43">
        <v>0</v>
      </c>
      <c r="E30" s="56"/>
      <c r="F30" s="68">
        <f>J35*K35</f>
        <v>0</v>
      </c>
      <c r="G30" s="56"/>
      <c r="H30" s="56"/>
      <c r="J30" s="73"/>
      <c r="K30" s="80"/>
      <c r="L30" s="74"/>
    </row>
    <row r="31" spans="1:12" ht="15" customHeight="1">
      <c r="A31" s="56"/>
      <c r="B31" s="122" t="str">
        <f>IF(L40&gt;0,"KT-Höhe bitte in 5 €-Schritten wählen!","")</f>
        <v/>
      </c>
      <c r="C31" s="123"/>
      <c r="D31" s="123"/>
      <c r="E31" s="123"/>
      <c r="F31" s="123"/>
      <c r="G31" s="56"/>
      <c r="H31" s="56"/>
      <c r="J31" s="75">
        <f>VLOOKUP(B30,Steuerung!B27:C32,2,FALSE)+2</f>
        <v>4</v>
      </c>
      <c r="K31" s="73"/>
      <c r="L31" s="74"/>
    </row>
    <row r="32" spans="1:12" ht="15" customHeight="1">
      <c r="A32" s="56"/>
      <c r="B32" s="39" t="s">
        <v>61</v>
      </c>
      <c r="C32" s="56"/>
      <c r="D32" s="46">
        <f>D28+D29+D30</f>
        <v>180</v>
      </c>
      <c r="E32" s="56"/>
      <c r="F32" s="71">
        <f>F28+F29+F30</f>
        <v>127.32000000000002</v>
      </c>
      <c r="G32" s="56"/>
      <c r="H32" s="56"/>
      <c r="J32" s="73"/>
      <c r="K32" s="73"/>
      <c r="L32" s="74"/>
    </row>
    <row r="33" spans="1:12" ht="15" customHeight="1">
      <c r="A33" s="56"/>
      <c r="B33" s="56"/>
      <c r="C33" s="56"/>
      <c r="D33" s="56"/>
      <c r="E33" s="56"/>
      <c r="F33" s="56"/>
      <c r="G33" s="56"/>
      <c r="H33" s="56"/>
      <c r="J33" s="73">
        <f>D28/5</f>
        <v>20</v>
      </c>
      <c r="K33" s="73">
        <f>VLOOKUP(J11,'KT-Beiträge S'!A:B,2,FALSE)</f>
        <v>3.99</v>
      </c>
      <c r="L33" s="73">
        <f>IF(INT(J33)=J33,0,1)</f>
        <v>0</v>
      </c>
    </row>
    <row r="34" spans="1:12" ht="15" customHeight="1">
      <c r="A34" s="56"/>
      <c r="B34" s="120" t="str">
        <f>IF(D32&gt;400,"Versicherbares Höchsttagegeld überschritten, bitte auf insgesamt 400 € reduzieren.",IF(D32&gt;D24,(CONCATENATE("Versicherbares Tagegeld (Nettoeinkommen) überschritten, bitte auf insgesamt ",D24," € reduzieren.")),IF(D24&gt;D32,(CONCATENATE("ACHTUNG Absicherungslücke in Höhe von ",D24-D32," €!")),"")))</f>
        <v/>
      </c>
      <c r="C34" s="134"/>
      <c r="D34" s="134"/>
      <c r="E34" s="134"/>
      <c r="F34" s="134"/>
      <c r="G34" s="134"/>
      <c r="H34" s="56"/>
      <c r="J34" s="73">
        <f>D29/5</f>
        <v>16</v>
      </c>
      <c r="K34" s="73">
        <f>VLOOKUP(J11,'KT-Beiträge S'!A:C,3,FALSE)</f>
        <v>2.97</v>
      </c>
      <c r="L34" s="73">
        <f>IF(INT(J34)=J34,0,1)</f>
        <v>0</v>
      </c>
    </row>
    <row r="35" spans="1:12" ht="15" customHeight="1">
      <c r="A35" s="56"/>
      <c r="B35" s="134"/>
      <c r="C35" s="134"/>
      <c r="D35" s="134"/>
      <c r="E35" s="134"/>
      <c r="F35" s="134"/>
      <c r="G35" s="134"/>
      <c r="H35" s="56"/>
      <c r="J35" s="79">
        <f>D30/5</f>
        <v>0</v>
      </c>
      <c r="K35" s="73">
        <f>VLOOKUP(J11,'KT-Beiträge S'!A:I,J31,FALSE)</f>
        <v>1.77</v>
      </c>
      <c r="L35" s="73">
        <f>IF(INT(J35)=J35,0,1)</f>
        <v>0</v>
      </c>
    </row>
    <row r="36" spans="1:12" ht="15" customHeight="1">
      <c r="A36" s="56"/>
      <c r="B36" s="56"/>
      <c r="C36" s="56"/>
      <c r="D36" s="56"/>
      <c r="E36" s="56"/>
      <c r="F36" s="56"/>
      <c r="G36" s="56"/>
      <c r="H36" s="56"/>
      <c r="J36" s="79"/>
      <c r="K36" s="73"/>
      <c r="L36" s="73"/>
    </row>
    <row r="37" spans="1:12" ht="15" customHeight="1">
      <c r="A37" s="56"/>
      <c r="B37" s="56"/>
      <c r="C37" s="56"/>
      <c r="D37" s="56"/>
      <c r="E37" s="56"/>
      <c r="F37" s="56"/>
      <c r="G37" s="56"/>
      <c r="H37" s="56"/>
      <c r="J37" s="79"/>
      <c r="K37" s="73"/>
      <c r="L37" s="73"/>
    </row>
    <row r="38" spans="1:12" ht="15" customHeight="1">
      <c r="A38" s="56"/>
      <c r="B38" s="56"/>
      <c r="C38" s="56"/>
      <c r="D38" s="56"/>
      <c r="E38" s="56"/>
      <c r="F38" s="56"/>
      <c r="G38" s="56"/>
      <c r="H38" s="56"/>
      <c r="J38" s="79"/>
      <c r="K38" s="73"/>
      <c r="L38" s="73"/>
    </row>
    <row r="39" spans="1:12" ht="15" customHeight="1">
      <c r="A39" s="38"/>
      <c r="B39" s="38" t="s">
        <v>101</v>
      </c>
      <c r="C39" s="38"/>
      <c r="D39" s="38"/>
      <c r="E39" s="38"/>
      <c r="F39" s="38"/>
      <c r="G39" s="38"/>
      <c r="H39" s="38"/>
      <c r="J39" s="79"/>
      <c r="K39" s="73"/>
      <c r="L39" s="73"/>
    </row>
    <row r="40" spans="1:12" ht="15" customHeight="1">
      <c r="A40" s="38"/>
      <c r="B40" s="38"/>
      <c r="C40" s="38"/>
      <c r="D40" s="38"/>
      <c r="E40" s="38"/>
      <c r="F40" s="38"/>
      <c r="G40" s="38"/>
      <c r="H40" s="38"/>
      <c r="J40" s="73"/>
      <c r="K40" s="73"/>
      <c r="L40" s="73">
        <f>L33+L34+L35</f>
        <v>0</v>
      </c>
    </row>
  </sheetData>
  <sheetProtection algorithmName="SHA-512" hashValue="su3F+yu4XxkjuX2K5JE3dH6sc247GeX0x7GZF9UzWxfxomHZQZ2M5xh8p+a3tVNUz/fI0m9WXi9stNwaDxabDg==" saltValue="4EdL/Ysw2ypOvfqebvlWkw==" spinCount="100000" sheet="1" objects="1" scenarios="1"/>
  <mergeCells count="10">
    <mergeCell ref="B24:C24"/>
    <mergeCell ref="B26:C26"/>
    <mergeCell ref="B31:F31"/>
    <mergeCell ref="B34:G35"/>
    <mergeCell ref="E24:H25"/>
    <mergeCell ref="B15:F15"/>
    <mergeCell ref="B17:F17"/>
    <mergeCell ref="E21:G22"/>
    <mergeCell ref="B19:G20"/>
    <mergeCell ref="C21:C22"/>
  </mergeCells>
  <dataValidations count="6">
    <dataValidation type="whole" allowBlank="1" showInputMessage="1" showErrorMessage="1" sqref="D28">
      <formula1>0</formula1>
      <formula2>100</formula2>
    </dataValidation>
    <dataValidation type="whole" allowBlank="1" showInputMessage="1" showErrorMessage="1" sqref="D30">
      <formula1>0</formula1>
      <formula2>400</formula2>
    </dataValidation>
    <dataValidation type="whole" allowBlank="1" showInputMessage="1" showErrorMessage="1" sqref="D29">
      <formula1>0</formula1>
      <formula2>200</formula2>
    </dataValidation>
    <dataValidation type="list" allowBlank="1" showInputMessage="1" showErrorMessage="1" sqref="B30">
      <formula1>Steuerung!$B$27:$B$32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3" r:id="rId6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tabColor theme="0" tint="-0.1499900072813034"/>
    <pageSetUpPr fitToPage="1"/>
  </sheetPr>
  <dimension ref="A1:S34"/>
  <sheetViews>
    <sheetView workbookViewId="0" topLeftCell="A1">
      <selection activeCell="D24" sqref="D24"/>
    </sheetView>
  </sheetViews>
  <sheetFormatPr defaultColWidth="0" defaultRowHeight="12.75" zeroHeight="1"/>
  <cols>
    <col min="1" max="1" width="14.7109375" style="54" customWidth="1"/>
    <col min="2" max="2" width="8.140625" style="54" customWidth="1"/>
    <col min="3" max="3" width="6.00390625" style="54" customWidth="1"/>
    <col min="4" max="4" width="12.140625" style="54" customWidth="1"/>
    <col min="5" max="5" width="9.28125" style="54" customWidth="1"/>
    <col min="6" max="6" width="12.28125" style="54" customWidth="1"/>
    <col min="7" max="7" width="13.8515625" style="54" customWidth="1"/>
    <col min="8" max="8" width="15.421875" style="54" customWidth="1"/>
    <col min="9" max="11" width="11.421875" style="54" hidden="1" customWidth="1"/>
    <col min="12" max="12" width="19.7109375" style="54" hidden="1" customWidth="1"/>
    <col min="13" max="14" width="11.421875" style="54" hidden="1" customWidth="1"/>
    <col min="15" max="15" width="11.421875" style="82" hidden="1" customWidth="1"/>
    <col min="16" max="16384" width="11.421875" style="54" hidden="1" customWidth="1"/>
  </cols>
  <sheetData>
    <row r="1" spans="1:11" ht="12.75">
      <c r="A1" s="53"/>
      <c r="B1" s="53"/>
      <c r="C1" s="53"/>
      <c r="D1" s="53"/>
      <c r="E1" s="53"/>
      <c r="F1" s="53"/>
      <c r="G1" s="53"/>
      <c r="H1" s="53"/>
      <c r="J1" s="55"/>
      <c r="K1" s="55"/>
    </row>
    <row r="2" spans="1:11" ht="12.75">
      <c r="A2" s="53"/>
      <c r="B2" s="53"/>
      <c r="C2" s="53"/>
      <c r="D2" s="53"/>
      <c r="E2" s="53"/>
      <c r="F2" s="53"/>
      <c r="G2" s="53"/>
      <c r="H2" s="53"/>
      <c r="J2" s="55"/>
      <c r="K2" s="55"/>
    </row>
    <row r="3" spans="1:11" ht="20.25">
      <c r="A3" s="53"/>
      <c r="B3" s="90" t="s">
        <v>102</v>
      </c>
      <c r="C3" s="53"/>
      <c r="D3" s="53"/>
      <c r="E3" s="53"/>
      <c r="F3" s="53"/>
      <c r="G3" s="53"/>
      <c r="H3" s="53"/>
      <c r="J3" s="55"/>
      <c r="K3" s="55"/>
    </row>
    <row r="4" spans="1:11" ht="15.75">
      <c r="A4" s="53"/>
      <c r="B4" s="91" t="s">
        <v>4</v>
      </c>
      <c r="C4" s="53"/>
      <c r="D4" s="53"/>
      <c r="E4" s="53"/>
      <c r="F4" s="53"/>
      <c r="G4" s="53"/>
      <c r="H4" s="53"/>
      <c r="J4" s="55"/>
      <c r="K4" s="55"/>
    </row>
    <row r="5" spans="1:11" ht="12.75">
      <c r="A5" s="53"/>
      <c r="B5" s="53"/>
      <c r="C5" s="53"/>
      <c r="D5" s="53"/>
      <c r="E5" s="53"/>
      <c r="F5" s="53"/>
      <c r="G5" s="53"/>
      <c r="H5" s="53"/>
      <c r="J5" s="55"/>
      <c r="K5" s="55"/>
    </row>
    <row r="6" spans="1:11" ht="12.75">
      <c r="A6" s="53"/>
      <c r="B6" s="53"/>
      <c r="C6" s="53"/>
      <c r="D6" s="53"/>
      <c r="E6" s="53"/>
      <c r="F6" s="53"/>
      <c r="G6" s="53"/>
      <c r="H6" s="53"/>
      <c r="J6" s="55"/>
      <c r="K6" s="55"/>
    </row>
    <row r="7" spans="1:11" ht="12.75">
      <c r="A7" s="53"/>
      <c r="B7" s="53"/>
      <c r="C7" s="53"/>
      <c r="D7" s="53"/>
      <c r="E7" s="53"/>
      <c r="F7" s="53"/>
      <c r="G7" s="53"/>
      <c r="H7" s="53"/>
      <c r="J7" s="55"/>
      <c r="K7" s="55"/>
    </row>
    <row r="8" spans="1:11" ht="12.75">
      <c r="A8" s="53"/>
      <c r="B8" s="53"/>
      <c r="C8" s="53"/>
      <c r="D8" s="53"/>
      <c r="E8" s="53"/>
      <c r="F8" s="53"/>
      <c r="G8" s="53"/>
      <c r="H8" s="53"/>
      <c r="J8" s="55"/>
      <c r="K8" s="55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J9" s="55"/>
      <c r="K9" s="55"/>
    </row>
    <row r="10" spans="1:11" ht="15" customHeight="1">
      <c r="A10" s="56"/>
      <c r="B10" s="56"/>
      <c r="C10" s="56"/>
      <c r="D10" s="56"/>
      <c r="E10" s="56"/>
      <c r="F10" s="56"/>
      <c r="G10" s="56"/>
      <c r="H10" s="56"/>
      <c r="J10" s="55"/>
      <c r="K10" s="55"/>
    </row>
    <row r="11" spans="1:11" ht="15" customHeight="1">
      <c r="A11" s="56"/>
      <c r="B11" s="39" t="s">
        <v>35</v>
      </c>
      <c r="C11" s="56"/>
      <c r="D11" s="56"/>
      <c r="E11" s="56"/>
      <c r="F11" s="56"/>
      <c r="G11" s="40">
        <v>1980</v>
      </c>
      <c r="H11" s="56"/>
      <c r="J11" s="57">
        <f>YEAR(G13)-G11</f>
        <v>40</v>
      </c>
      <c r="K11" s="55"/>
    </row>
    <row r="12" spans="1:11" ht="15" customHeight="1">
      <c r="A12" s="56"/>
      <c r="B12" s="56"/>
      <c r="C12" s="56"/>
      <c r="D12" s="56"/>
      <c r="E12" s="56"/>
      <c r="F12" s="56"/>
      <c r="G12" s="56"/>
      <c r="H12" s="56"/>
      <c r="J12" s="55"/>
      <c r="K12" s="55"/>
    </row>
    <row r="13" spans="1:11" ht="15" customHeight="1">
      <c r="A13" s="56"/>
      <c r="B13" s="39" t="s">
        <v>36</v>
      </c>
      <c r="C13" s="56"/>
      <c r="D13" s="56"/>
      <c r="E13" s="56"/>
      <c r="F13" s="56"/>
      <c r="G13" s="42">
        <v>43831</v>
      </c>
      <c r="H13" s="56"/>
      <c r="J13" s="55"/>
      <c r="K13" s="55"/>
    </row>
    <row r="14" spans="1:13" ht="15" customHeight="1">
      <c r="A14" s="56"/>
      <c r="B14" s="56"/>
      <c r="C14" s="56"/>
      <c r="D14" s="56"/>
      <c r="E14" s="56"/>
      <c r="F14" s="56"/>
      <c r="G14" s="56"/>
      <c r="H14" s="56"/>
      <c r="J14" s="55"/>
      <c r="K14" s="55"/>
      <c r="M14" s="83"/>
    </row>
    <row r="15" spans="1:11" ht="15" customHeight="1">
      <c r="A15" s="56"/>
      <c r="B15" s="112" t="s">
        <v>108</v>
      </c>
      <c r="C15" s="105"/>
      <c r="D15" s="105"/>
      <c r="E15" s="105"/>
      <c r="F15" s="119"/>
      <c r="G15" s="43">
        <v>40000</v>
      </c>
      <c r="H15" s="56"/>
      <c r="J15" s="55"/>
      <c r="K15" s="55"/>
    </row>
    <row r="16" spans="1:15" ht="15" customHeight="1">
      <c r="A16" s="56"/>
      <c r="B16" s="56"/>
      <c r="C16" s="50"/>
      <c r="D16" s="50"/>
      <c r="E16" s="50"/>
      <c r="F16" s="50"/>
      <c r="G16" s="50"/>
      <c r="H16" s="56"/>
      <c r="J16" s="55"/>
      <c r="K16" s="55"/>
      <c r="O16" s="84"/>
    </row>
    <row r="17" spans="1:19" ht="15" customHeight="1">
      <c r="A17" s="56"/>
      <c r="B17" s="112" t="s">
        <v>60</v>
      </c>
      <c r="C17" s="105"/>
      <c r="D17" s="46">
        <f>(ROUNDUP((0.8*(G15/365))*2,-1)/2)</f>
        <v>90</v>
      </c>
      <c r="E17" s="124" t="str">
        <f>IF(D17&gt;200,"ACHTUNG: versicherbar
sind nur 200 €!","")</f>
        <v/>
      </c>
      <c r="F17" s="125"/>
      <c r="G17" s="125"/>
      <c r="H17" s="105"/>
      <c r="J17" s="55"/>
      <c r="K17" s="55"/>
      <c r="N17" s="84"/>
      <c r="O17" s="84"/>
      <c r="P17" s="84"/>
      <c r="Q17" s="84"/>
      <c r="R17" s="84"/>
      <c r="S17" s="84"/>
    </row>
    <row r="18" spans="1:19" ht="15" customHeight="1">
      <c r="A18" s="56"/>
      <c r="B18" s="56"/>
      <c r="C18" s="56"/>
      <c r="D18" s="56"/>
      <c r="E18" s="125"/>
      <c r="F18" s="125"/>
      <c r="G18" s="125"/>
      <c r="H18" s="105"/>
      <c r="J18" s="55"/>
      <c r="K18" s="55"/>
      <c r="N18" s="84"/>
      <c r="O18" s="84"/>
      <c r="P18" s="84"/>
      <c r="Q18" s="84"/>
      <c r="R18" s="84"/>
      <c r="S18" s="84"/>
    </row>
    <row r="19" spans="1:19" ht="15" customHeight="1">
      <c r="A19" s="56"/>
      <c r="B19" s="56"/>
      <c r="C19" s="56"/>
      <c r="D19" s="56"/>
      <c r="E19" s="56"/>
      <c r="F19" s="56"/>
      <c r="G19" s="56"/>
      <c r="H19" s="56"/>
      <c r="J19" s="55"/>
      <c r="K19" s="55"/>
      <c r="N19" s="84"/>
      <c r="O19" s="84"/>
      <c r="P19" s="84"/>
      <c r="Q19" s="84"/>
      <c r="R19" s="84"/>
      <c r="S19" s="84"/>
    </row>
    <row r="20" spans="1:19" ht="15" customHeight="1">
      <c r="A20" s="56"/>
      <c r="B20" s="112" t="s">
        <v>37</v>
      </c>
      <c r="C20" s="105"/>
      <c r="D20" s="49" t="s">
        <v>39</v>
      </c>
      <c r="E20" s="56"/>
      <c r="F20" s="66" t="s">
        <v>38</v>
      </c>
      <c r="G20" s="56"/>
      <c r="H20" s="56"/>
      <c r="J20" s="57">
        <f>VLOOKUP(B24,Steuerung!B27:C32,2,FALSE)+2</f>
        <v>4</v>
      </c>
      <c r="K20" s="55"/>
      <c r="N20" s="84"/>
      <c r="O20" s="84"/>
      <c r="P20" s="84"/>
      <c r="Q20" s="84"/>
      <c r="R20" s="84"/>
      <c r="S20" s="84"/>
    </row>
    <row r="21" spans="1:19" ht="15" customHeight="1">
      <c r="A21" s="56"/>
      <c r="B21" s="64"/>
      <c r="C21" s="50"/>
      <c r="D21" s="67" t="s">
        <v>62</v>
      </c>
      <c r="E21" s="56"/>
      <c r="F21" s="58"/>
      <c r="G21" s="56"/>
      <c r="H21" s="56"/>
      <c r="J21" s="55"/>
      <c r="K21" s="55"/>
      <c r="N21" s="84"/>
      <c r="O21" s="84"/>
      <c r="P21" s="84"/>
      <c r="Q21" s="84"/>
      <c r="R21" s="84"/>
      <c r="S21" s="84"/>
    </row>
    <row r="22" spans="1:19" ht="15" customHeight="1">
      <c r="A22" s="56"/>
      <c r="B22" s="39" t="s">
        <v>54</v>
      </c>
      <c r="C22" s="56"/>
      <c r="D22" s="43">
        <v>50</v>
      </c>
      <c r="E22" s="56"/>
      <c r="F22" s="68">
        <f>J22*K22</f>
        <v>43.4</v>
      </c>
      <c r="G22" s="56"/>
      <c r="H22" s="56"/>
      <c r="J22" s="57">
        <f>D22/5</f>
        <v>10</v>
      </c>
      <c r="K22" s="85">
        <f>VLOOKUP(J11,'KT-Beiträge S'!A:B,2,FALSE)</f>
        <v>4.34</v>
      </c>
      <c r="L22" s="55">
        <f>IF(INT(J22)=J22,0,1)</f>
        <v>0</v>
      </c>
      <c r="N22" s="84"/>
      <c r="O22" s="84"/>
      <c r="P22" s="84"/>
      <c r="Q22" s="84"/>
      <c r="R22" s="84"/>
      <c r="S22" s="84"/>
    </row>
    <row r="23" spans="1:19" ht="15" customHeight="1">
      <c r="A23" s="56"/>
      <c r="B23" s="39" t="s">
        <v>55</v>
      </c>
      <c r="C23" s="56"/>
      <c r="D23" s="43">
        <v>0</v>
      </c>
      <c r="E23" s="56"/>
      <c r="F23" s="68">
        <f>J23*K23</f>
        <v>0</v>
      </c>
      <c r="G23" s="56"/>
      <c r="H23" s="56"/>
      <c r="J23" s="57">
        <f>D23/5</f>
        <v>0</v>
      </c>
      <c r="K23" s="85">
        <f>VLOOKUP(J11,'KT-Beiträge S'!A:C,3,FALSE)</f>
        <v>3.23</v>
      </c>
      <c r="L23" s="55">
        <f>IF(INT(J23)=J23,0,1)</f>
        <v>0</v>
      </c>
      <c r="N23" s="84"/>
      <c r="O23" s="84"/>
      <c r="P23" s="84"/>
      <c r="Q23" s="84"/>
      <c r="R23" s="84"/>
      <c r="S23" s="84"/>
    </row>
    <row r="24" spans="1:19" ht="15" customHeight="1">
      <c r="A24" s="56"/>
      <c r="B24" s="69" t="s">
        <v>29</v>
      </c>
      <c r="C24" s="56"/>
      <c r="D24" s="43">
        <v>40</v>
      </c>
      <c r="E24" s="56"/>
      <c r="F24" s="68">
        <f>J24*K24</f>
        <v>15.6</v>
      </c>
      <c r="G24" s="56"/>
      <c r="H24" s="56"/>
      <c r="J24" s="57">
        <f>D24/5</f>
        <v>8</v>
      </c>
      <c r="K24" s="85">
        <f>VLOOKUP(J11,'KT-Beiträge S'!A:I,J20,FALSE)</f>
        <v>1.95</v>
      </c>
      <c r="L24" s="55">
        <f>IF(INT(J24)=J24,0,1)</f>
        <v>0</v>
      </c>
      <c r="N24" s="84"/>
      <c r="O24" s="84"/>
      <c r="P24" s="84"/>
      <c r="Q24" s="86"/>
      <c r="R24" s="84"/>
      <c r="S24" s="86"/>
    </row>
    <row r="25" spans="1:19" ht="15" customHeight="1">
      <c r="A25" s="56"/>
      <c r="B25" s="122" t="str">
        <f>IF(L25&gt;0,"KT-Höhe bitte in 5 €-Schritten wählen!","")</f>
        <v/>
      </c>
      <c r="C25" s="123"/>
      <c r="D25" s="123"/>
      <c r="E25" s="123"/>
      <c r="F25" s="123"/>
      <c r="G25" s="56"/>
      <c r="H25" s="56"/>
      <c r="J25" s="55"/>
      <c r="K25" s="55"/>
      <c r="L25" s="55">
        <f>L22+L23+L24</f>
        <v>0</v>
      </c>
      <c r="N25" s="84"/>
      <c r="O25" s="84"/>
      <c r="P25" s="84"/>
      <c r="Q25" s="84"/>
      <c r="R25" s="84"/>
      <c r="S25" s="84"/>
    </row>
    <row r="26" spans="1:19" ht="15" customHeight="1">
      <c r="A26" s="56"/>
      <c r="B26" s="39" t="s">
        <v>61</v>
      </c>
      <c r="C26" s="56"/>
      <c r="D26" s="46">
        <f>D22+D23+D24</f>
        <v>90</v>
      </c>
      <c r="E26" s="56"/>
      <c r="F26" s="71">
        <f>F22+F23+F24</f>
        <v>59</v>
      </c>
      <c r="G26" s="56"/>
      <c r="H26" s="56"/>
      <c r="J26" s="55"/>
      <c r="K26" s="55"/>
      <c r="N26" s="84"/>
      <c r="O26" s="84"/>
      <c r="P26" s="84"/>
      <c r="Q26" s="84"/>
      <c r="R26" s="84"/>
      <c r="S26" s="84"/>
    </row>
    <row r="27" spans="1:19" ht="15" customHeight="1">
      <c r="A27" s="56"/>
      <c r="B27" s="56"/>
      <c r="C27" s="56"/>
      <c r="D27" s="56"/>
      <c r="E27" s="56"/>
      <c r="F27" s="56"/>
      <c r="G27" s="56"/>
      <c r="H27" s="56"/>
      <c r="J27" s="55"/>
      <c r="K27" s="55"/>
      <c r="N27" s="84"/>
      <c r="O27" s="84"/>
      <c r="P27" s="84"/>
      <c r="Q27" s="84"/>
      <c r="R27" s="84"/>
      <c r="S27" s="84"/>
    </row>
    <row r="28" spans="1:19" ht="15" customHeight="1">
      <c r="A28" s="56"/>
      <c r="B28" s="120" t="str">
        <f>IF(D26&gt;200,"Versicherbares Höchsttagegeld überschritten, bitte auf insgesamt 200 € reduzieren.",IF(D26&gt;D17,(CONCATENATE("gewähltes Tagegeld höher als Bedarf, 
bitte auf insgesamt ",D17," € reduzieren.")),IF(D17&gt;D26,(CONCATENATE("ACHTUNG Absicherungslücke in Höhe von ",D17-D26," €!")),"")))</f>
        <v/>
      </c>
      <c r="C28" s="134"/>
      <c r="D28" s="134"/>
      <c r="E28" s="134"/>
      <c r="F28" s="134"/>
      <c r="G28" s="134"/>
      <c r="H28" s="56"/>
      <c r="J28" s="55"/>
      <c r="K28" s="55"/>
      <c r="N28" s="84"/>
      <c r="O28" s="84"/>
      <c r="P28" s="84"/>
      <c r="Q28" s="84"/>
      <c r="R28" s="84"/>
      <c r="S28" s="84"/>
    </row>
    <row r="29" spans="1:11" ht="15" customHeight="1">
      <c r="A29" s="56"/>
      <c r="B29" s="134"/>
      <c r="C29" s="134"/>
      <c r="D29" s="134"/>
      <c r="E29" s="134"/>
      <c r="F29" s="134"/>
      <c r="G29" s="134"/>
      <c r="H29" s="56"/>
      <c r="J29" s="55"/>
      <c r="K29" s="55"/>
    </row>
    <row r="30" spans="1:11" ht="15.75" customHeight="1">
      <c r="A30" s="56"/>
      <c r="B30" s="50"/>
      <c r="C30" s="50"/>
      <c r="D30" s="50"/>
      <c r="E30" s="50"/>
      <c r="F30" s="50"/>
      <c r="G30" s="50"/>
      <c r="H30" s="56"/>
      <c r="J30" s="55"/>
      <c r="K30" s="55"/>
    </row>
    <row r="31" spans="1:11" ht="15.75" customHeight="1">
      <c r="A31" s="56"/>
      <c r="B31" s="50"/>
      <c r="C31" s="50"/>
      <c r="D31" s="50"/>
      <c r="E31" s="50"/>
      <c r="F31" s="50"/>
      <c r="G31" s="50"/>
      <c r="H31" s="56"/>
      <c r="J31" s="55"/>
      <c r="K31" s="55"/>
    </row>
    <row r="32" spans="1:11" ht="15.75" customHeight="1">
      <c r="A32" s="56"/>
      <c r="B32" s="50"/>
      <c r="C32" s="50"/>
      <c r="D32" s="50"/>
      <c r="E32" s="50"/>
      <c r="F32" s="50"/>
      <c r="G32" s="50"/>
      <c r="H32" s="56"/>
      <c r="J32" s="55"/>
      <c r="K32" s="55"/>
    </row>
    <row r="33" spans="1:11" ht="15.75" customHeight="1">
      <c r="A33" s="56"/>
      <c r="B33" s="56" t="s">
        <v>101</v>
      </c>
      <c r="C33" s="50"/>
      <c r="D33" s="50"/>
      <c r="E33" s="50"/>
      <c r="F33" s="50"/>
      <c r="G33" s="50"/>
      <c r="H33" s="56"/>
      <c r="J33" s="55"/>
      <c r="K33" s="55"/>
    </row>
    <row r="34" spans="1:11" ht="15" customHeight="1">
      <c r="A34" s="56"/>
      <c r="B34" s="50"/>
      <c r="C34" s="50"/>
      <c r="D34" s="50"/>
      <c r="E34" s="50"/>
      <c r="F34" s="50"/>
      <c r="G34" s="50"/>
      <c r="H34" s="56"/>
      <c r="J34" s="55"/>
      <c r="K34" s="55"/>
    </row>
  </sheetData>
  <sheetProtection algorithmName="SHA-512" hashValue="ukaHKOxehrRD1/d91qdJv1FQKVHmtiX3mMZOuMDyeTsws9omKQ0B6MiW2QTmuyIWNepwZZAyXuX7JOv2kb0B1w==" saltValue="8gisewUfeSbopWgL70Uo7g==" spinCount="100000" sheet="1" objects="1" scenarios="1"/>
  <mergeCells count="6">
    <mergeCell ref="B15:F15"/>
    <mergeCell ref="B17:C17"/>
    <mergeCell ref="B20:C20"/>
    <mergeCell ref="B25:F25"/>
    <mergeCell ref="B28:G29"/>
    <mergeCell ref="E17:H18"/>
  </mergeCells>
  <dataValidations count="6">
    <dataValidation type="whole" allowBlank="1" showInputMessage="1" showErrorMessage="1" sqref="D22">
      <formula1>0</formula1>
      <formula2>50</formula2>
    </dataValidation>
    <dataValidation type="whole" allowBlank="1" showInputMessage="1" showErrorMessage="1" sqref="D24">
      <formula1>0</formula1>
      <formula2>200</formula2>
    </dataValidation>
    <dataValidation type="whole" allowBlank="1" showInputMessage="1" showErrorMessage="1" sqref="D23">
      <formula1>0</formula1>
      <formula2>100</formula2>
    </dataValidation>
    <dataValidation type="list" allowBlank="1" showInputMessage="1" showErrorMessage="1" sqref="B24">
      <formula1>Steuerung!$B$27:$B$32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7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tabColor theme="0" tint="-0.1499900072813034"/>
    <pageSetUpPr fitToPage="1"/>
  </sheetPr>
  <dimension ref="A1:S40"/>
  <sheetViews>
    <sheetView workbookViewId="0" topLeftCell="A1">
      <selection activeCell="E24" sqref="E24:H25"/>
    </sheetView>
  </sheetViews>
  <sheetFormatPr defaultColWidth="0" defaultRowHeight="12.75" zeroHeight="1"/>
  <cols>
    <col min="1" max="1" width="16.421875" style="36" customWidth="1"/>
    <col min="2" max="2" width="9.57421875" style="36" customWidth="1"/>
    <col min="3" max="3" width="11.8515625" style="36" customWidth="1"/>
    <col min="4" max="4" width="9.7109375" style="36" customWidth="1"/>
    <col min="5" max="5" width="9.00390625" style="36" customWidth="1"/>
    <col min="6" max="6" width="13.8515625" style="36" customWidth="1"/>
    <col min="7" max="7" width="14.8515625" style="36" customWidth="1"/>
    <col min="8" max="8" width="11.421875" style="36" customWidth="1"/>
    <col min="9" max="9" width="11.421875" style="36" hidden="1" customWidth="1"/>
    <col min="10" max="10" width="14.8515625" style="36" hidden="1" customWidth="1"/>
    <col min="11" max="11" width="11.421875" style="36" hidden="1" customWidth="1"/>
    <col min="12" max="12" width="19.7109375" style="36" hidden="1" customWidth="1"/>
    <col min="13" max="16384" width="11.421875" style="36" hidden="1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J1" s="37"/>
      <c r="K1" s="37"/>
    </row>
    <row r="2" spans="1:11" ht="12.75">
      <c r="A2" s="35"/>
      <c r="B2" s="35"/>
      <c r="C2" s="35"/>
      <c r="D2" s="35"/>
      <c r="E2" s="35"/>
      <c r="F2" s="35"/>
      <c r="G2" s="35"/>
      <c r="H2" s="35"/>
      <c r="J2" s="37"/>
      <c r="K2" s="37"/>
    </row>
    <row r="3" spans="1:11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</row>
    <row r="4" spans="1:11" ht="15.75">
      <c r="A4" s="35"/>
      <c r="B4" s="91" t="s">
        <v>73</v>
      </c>
      <c r="C4" s="35"/>
      <c r="D4" s="35"/>
      <c r="E4" s="35"/>
      <c r="F4" s="35"/>
      <c r="G4" s="35"/>
      <c r="H4" s="35"/>
      <c r="J4" s="37"/>
      <c r="K4" s="37"/>
    </row>
    <row r="5" spans="1:11" ht="12.75">
      <c r="A5" s="35"/>
      <c r="B5" s="35"/>
      <c r="C5" s="35"/>
      <c r="D5" s="35"/>
      <c r="E5" s="35"/>
      <c r="F5" s="35"/>
      <c r="G5" s="35"/>
      <c r="H5" s="35"/>
      <c r="J5" s="37"/>
      <c r="K5" s="37"/>
    </row>
    <row r="6" spans="1:11" ht="12.75">
      <c r="A6" s="35"/>
      <c r="B6" s="35"/>
      <c r="C6" s="35"/>
      <c r="D6" s="35"/>
      <c r="E6" s="35"/>
      <c r="F6" s="35"/>
      <c r="G6" s="35"/>
      <c r="H6" s="35"/>
      <c r="J6" s="37"/>
      <c r="K6" s="37"/>
    </row>
    <row r="7" spans="1:11" ht="12.75">
      <c r="A7" s="35"/>
      <c r="B7" s="35"/>
      <c r="C7" s="35"/>
      <c r="D7" s="35"/>
      <c r="E7" s="35"/>
      <c r="F7" s="35"/>
      <c r="G7" s="35"/>
      <c r="H7" s="35"/>
      <c r="J7" s="37"/>
      <c r="K7" s="37"/>
    </row>
    <row r="8" spans="1:11" ht="12.75">
      <c r="A8" s="35"/>
      <c r="B8" s="35"/>
      <c r="C8" s="35"/>
      <c r="D8" s="35"/>
      <c r="E8" s="35"/>
      <c r="F8" s="35"/>
      <c r="G8" s="35"/>
      <c r="H8" s="35"/>
      <c r="J8" s="37"/>
      <c r="K8" s="37"/>
    </row>
    <row r="9" spans="1:11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</row>
    <row r="10" spans="1:11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</row>
    <row r="11" spans="1:11" ht="15" customHeight="1">
      <c r="A11" s="56"/>
      <c r="B11" s="39" t="s">
        <v>35</v>
      </c>
      <c r="C11" s="56"/>
      <c r="D11" s="56"/>
      <c r="E11" s="56"/>
      <c r="F11" s="56"/>
      <c r="G11" s="40">
        <v>1981</v>
      </c>
      <c r="H11" s="56"/>
      <c r="J11" s="41">
        <f>YEAR(G13)-G11</f>
        <v>39</v>
      </c>
      <c r="K11" s="37"/>
    </row>
    <row r="12" spans="1:11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</row>
    <row r="13" spans="1:11" ht="15" customHeight="1">
      <c r="A13" s="56"/>
      <c r="B13" s="39" t="s">
        <v>36</v>
      </c>
      <c r="C13" s="56"/>
      <c r="D13" s="56"/>
      <c r="E13" s="56"/>
      <c r="F13" s="56"/>
      <c r="G13" s="42">
        <v>43831</v>
      </c>
      <c r="H13" s="56"/>
      <c r="J13" s="37"/>
      <c r="K13" s="37"/>
    </row>
    <row r="14" spans="1:11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</row>
    <row r="15" spans="1:11" ht="15" customHeight="1">
      <c r="A15" s="56"/>
      <c r="B15" s="112" t="s">
        <v>108</v>
      </c>
      <c r="C15" s="105"/>
      <c r="D15" s="105"/>
      <c r="E15" s="105"/>
      <c r="F15" s="126"/>
      <c r="G15" s="43">
        <v>80000</v>
      </c>
      <c r="H15" s="56"/>
      <c r="J15" s="62" t="s">
        <v>40</v>
      </c>
      <c r="K15" s="59">
        <f>G15/12</f>
        <v>6666.666666666667</v>
      </c>
    </row>
    <row r="16" spans="1:11" ht="15" customHeight="1" hidden="1">
      <c r="A16" s="56"/>
      <c r="B16" s="56"/>
      <c r="C16" s="56"/>
      <c r="D16" s="56"/>
      <c r="E16" s="56"/>
      <c r="F16" s="56"/>
      <c r="G16" s="56"/>
      <c r="H16" s="56"/>
      <c r="J16" s="60" t="s">
        <v>45</v>
      </c>
      <c r="K16" s="59">
        <f>K15*0.7</f>
        <v>4666.666666666667</v>
      </c>
    </row>
    <row r="17" spans="1:13" ht="15" customHeight="1" hidden="1">
      <c r="A17" s="56"/>
      <c r="B17" s="127"/>
      <c r="C17" s="128"/>
      <c r="D17" s="128"/>
      <c r="E17" s="128"/>
      <c r="F17" s="128"/>
      <c r="G17" s="56"/>
      <c r="H17" s="56"/>
      <c r="J17" s="37" t="s">
        <v>41</v>
      </c>
      <c r="K17" s="59">
        <f>IF(K16&lt;Steuerung!F2,K16,Steuerung!F2)</f>
        <v>3281.25</v>
      </c>
      <c r="L17" s="87"/>
      <c r="M17" s="87"/>
    </row>
    <row r="18" spans="1:11" ht="15" customHeight="1" hidden="1">
      <c r="A18" s="56"/>
      <c r="B18" s="56"/>
      <c r="C18" s="56"/>
      <c r="D18" s="56"/>
      <c r="E18" s="56"/>
      <c r="F18" s="56"/>
      <c r="G18" s="56"/>
      <c r="H18" s="56"/>
      <c r="J18" s="37" t="s">
        <v>69</v>
      </c>
      <c r="K18" s="59">
        <f>IF(K15&lt;Steuerung!F7/12,K15*0.8*Steuerung!F5*2,Steuerung!F7/12*0.8*Steuerung!F5*2)</f>
        <v>133.125</v>
      </c>
    </row>
    <row r="19" spans="1:11" ht="15" customHeight="1">
      <c r="A19" s="56"/>
      <c r="B19" s="103" t="s">
        <v>66</v>
      </c>
      <c r="C19" s="104"/>
      <c r="D19" s="104"/>
      <c r="E19" s="104"/>
      <c r="F19" s="104"/>
      <c r="G19" s="104"/>
      <c r="H19" s="56"/>
      <c r="J19" s="37" t="s">
        <v>65</v>
      </c>
      <c r="K19" s="59">
        <f>0.8*G15/12</f>
        <v>5333.333333333333</v>
      </c>
    </row>
    <row r="20" spans="1:11" ht="15" customHeight="1">
      <c r="A20" s="56"/>
      <c r="B20" s="114"/>
      <c r="C20" s="114"/>
      <c r="D20" s="114"/>
      <c r="E20" s="114"/>
      <c r="F20" s="114"/>
      <c r="G20" s="114"/>
      <c r="H20" s="56"/>
      <c r="J20" s="37" t="s">
        <v>44</v>
      </c>
      <c r="K20" s="59">
        <f>K19-K17+K18</f>
        <v>2185.208333333333</v>
      </c>
    </row>
    <row r="21" spans="1:11" ht="15" customHeight="1">
      <c r="A21" s="56"/>
      <c r="B21" s="56"/>
      <c r="C21" s="135" t="s">
        <v>67</v>
      </c>
      <c r="D21" s="56"/>
      <c r="E21" s="137" t="s">
        <v>68</v>
      </c>
      <c r="F21" s="105"/>
      <c r="G21" s="105"/>
      <c r="H21" s="56"/>
      <c r="J21" s="37" t="s">
        <v>43</v>
      </c>
      <c r="K21" s="59">
        <f>K20/30</f>
        <v>72.84027777777777</v>
      </c>
    </row>
    <row r="22" spans="1:11" ht="15" customHeight="1">
      <c r="A22" s="56"/>
      <c r="B22" s="56"/>
      <c r="C22" s="136"/>
      <c r="D22" s="56"/>
      <c r="E22" s="138"/>
      <c r="F22" s="105"/>
      <c r="G22" s="105"/>
      <c r="H22" s="56"/>
      <c r="J22" s="37"/>
      <c r="K22" s="37">
        <f>ROUNDUP((K21)*2,-1)/2</f>
        <v>75</v>
      </c>
    </row>
    <row r="23" spans="1:19" ht="15" customHeight="1">
      <c r="A23" s="56"/>
      <c r="B23" s="56"/>
      <c r="C23" s="56"/>
      <c r="D23" s="56"/>
      <c r="E23" s="56"/>
      <c r="F23" s="56"/>
      <c r="G23" s="56"/>
      <c r="H23" s="56"/>
      <c r="J23" s="37"/>
      <c r="K23" s="37"/>
      <c r="Q23" s="45"/>
      <c r="R23" s="45"/>
      <c r="S23" s="45"/>
    </row>
    <row r="24" spans="1:11" ht="15" customHeight="1">
      <c r="A24" s="56"/>
      <c r="B24" s="112" t="s">
        <v>60</v>
      </c>
      <c r="C24" s="105"/>
      <c r="D24" s="46">
        <f>IF(K24=1,K26,K27)</f>
        <v>75</v>
      </c>
      <c r="E24" s="120" t="str">
        <f>IF(D24&gt;200,"ACHTUNG: versicherbar sind nur 200 €!","")</f>
        <v/>
      </c>
      <c r="F24" s="134"/>
      <c r="G24" s="134"/>
      <c r="H24" s="105"/>
      <c r="J24" s="62"/>
      <c r="K24" s="79">
        <v>1</v>
      </c>
    </row>
    <row r="25" spans="1:11" ht="15" customHeight="1">
      <c r="A25" s="56"/>
      <c r="B25" s="56"/>
      <c r="C25" s="56"/>
      <c r="D25" s="56"/>
      <c r="E25" s="134"/>
      <c r="F25" s="134"/>
      <c r="G25" s="134"/>
      <c r="H25" s="105"/>
      <c r="J25" s="62"/>
      <c r="K25" s="62"/>
    </row>
    <row r="26" spans="1:11" ht="15" customHeight="1">
      <c r="A26" s="56"/>
      <c r="B26" s="112" t="s">
        <v>37</v>
      </c>
      <c r="C26" s="105"/>
      <c r="D26" s="49" t="s">
        <v>39</v>
      </c>
      <c r="E26" s="56"/>
      <c r="F26" s="66" t="s">
        <v>38</v>
      </c>
      <c r="G26" s="56"/>
      <c r="H26" s="56"/>
      <c r="J26" s="60" t="s">
        <v>70</v>
      </c>
      <c r="K26" s="62">
        <f>K22</f>
        <v>75</v>
      </c>
    </row>
    <row r="27" spans="1:11" ht="15" customHeight="1">
      <c r="A27" s="56"/>
      <c r="B27" s="64"/>
      <c r="C27" s="50"/>
      <c r="D27" s="67" t="s">
        <v>62</v>
      </c>
      <c r="E27" s="56"/>
      <c r="F27" s="58"/>
      <c r="G27" s="56"/>
      <c r="H27" s="56"/>
      <c r="J27" s="37" t="s">
        <v>71</v>
      </c>
      <c r="K27" s="62">
        <f>ROUNDUP((K19/30)*2,-1)/2</f>
        <v>180</v>
      </c>
    </row>
    <row r="28" spans="1:11" ht="15" customHeight="1">
      <c r="A28" s="56"/>
      <c r="B28" s="39" t="s">
        <v>54</v>
      </c>
      <c r="C28" s="56"/>
      <c r="D28" s="43">
        <v>20</v>
      </c>
      <c r="E28" s="56"/>
      <c r="F28" s="68">
        <f>J33*K33</f>
        <v>16.88</v>
      </c>
      <c r="G28" s="56"/>
      <c r="H28" s="56"/>
      <c r="J28" s="37"/>
      <c r="K28" s="62"/>
    </row>
    <row r="29" spans="1:11" ht="15" customHeight="1">
      <c r="A29" s="56"/>
      <c r="B29" s="39" t="s">
        <v>55</v>
      </c>
      <c r="C29" s="56"/>
      <c r="D29" s="43">
        <v>55</v>
      </c>
      <c r="E29" s="56"/>
      <c r="F29" s="68">
        <f>J34*K34</f>
        <v>34.54</v>
      </c>
      <c r="G29" s="56"/>
      <c r="H29" s="56"/>
      <c r="J29" s="37" t="s">
        <v>72</v>
      </c>
      <c r="K29" s="62">
        <f>D24</f>
        <v>75</v>
      </c>
    </row>
    <row r="30" spans="1:11" ht="15" customHeight="1">
      <c r="A30" s="56"/>
      <c r="B30" s="69" t="s">
        <v>30</v>
      </c>
      <c r="C30" s="56"/>
      <c r="D30" s="43">
        <v>0</v>
      </c>
      <c r="E30" s="56"/>
      <c r="F30" s="68">
        <f>J35*K35</f>
        <v>0</v>
      </c>
      <c r="G30" s="56"/>
      <c r="H30" s="56"/>
      <c r="J30" s="37"/>
      <c r="K30" s="88"/>
    </row>
    <row r="31" spans="1:11" ht="15" customHeight="1">
      <c r="A31" s="56"/>
      <c r="B31" s="122" t="str">
        <f>IF(L40&gt;0,"KT-Höhe bitte in 5 €-Schritten wählen!","")</f>
        <v/>
      </c>
      <c r="C31" s="123"/>
      <c r="D31" s="123"/>
      <c r="E31" s="123"/>
      <c r="F31" s="123"/>
      <c r="G31" s="56"/>
      <c r="H31" s="56"/>
      <c r="J31" s="41">
        <f>VLOOKUP(B30,Steuerung!B27:C32,2,FALSE)+2</f>
        <v>5</v>
      </c>
      <c r="K31" s="37"/>
    </row>
    <row r="32" spans="1:11" ht="15" customHeight="1">
      <c r="A32" s="56"/>
      <c r="B32" s="39" t="s">
        <v>61</v>
      </c>
      <c r="C32" s="56"/>
      <c r="D32" s="46">
        <f>D28+D29+D30</f>
        <v>75</v>
      </c>
      <c r="E32" s="56"/>
      <c r="F32" s="71">
        <f>F28+F29+F30</f>
        <v>51.42</v>
      </c>
      <c r="G32" s="56"/>
      <c r="H32" s="56"/>
      <c r="J32" s="37"/>
      <c r="K32" s="37"/>
    </row>
    <row r="33" spans="1:12" ht="15" customHeight="1">
      <c r="A33" s="56"/>
      <c r="B33" s="56"/>
      <c r="C33" s="56"/>
      <c r="D33" s="56"/>
      <c r="E33" s="56"/>
      <c r="F33" s="56"/>
      <c r="G33" s="56"/>
      <c r="H33" s="56"/>
      <c r="J33" s="37">
        <f>D28/5</f>
        <v>4</v>
      </c>
      <c r="K33" s="37">
        <f>VLOOKUP(J11,'KT-Beiträge S'!A:B,2,FALSE)</f>
        <v>4.22</v>
      </c>
      <c r="L33" s="37">
        <f>IF(INT(J33)=J33,0,1)</f>
        <v>0</v>
      </c>
    </row>
    <row r="34" spans="1:12" ht="15" customHeight="1">
      <c r="A34" s="38"/>
      <c r="B34" s="120" t="str">
        <f>IF(D32&gt;200,"Versicherbares Höchsttagegeld überschritten, bitte auf insgesamt 200 € reduzieren.",IF(D32&gt;D24,(CONCATENATE("Versicherbares Tagegeld (Nettoeinkommen) überschritten, bitte auf insgesamt ",D24," € reduzieren.")),IF(D24&gt;D32,(CONCATENATE("ACHTUNG Absicherungslücke in Höhe von ",D24-D32," €!")),"")))</f>
        <v/>
      </c>
      <c r="C34" s="121"/>
      <c r="D34" s="121"/>
      <c r="E34" s="121"/>
      <c r="F34" s="121"/>
      <c r="G34" s="121"/>
      <c r="H34" s="38"/>
      <c r="J34" s="37">
        <f>D29/5</f>
        <v>11</v>
      </c>
      <c r="K34" s="37">
        <f>VLOOKUP(J11,'KT-Beiträge S'!A:C,3,FALSE)</f>
        <v>3.14</v>
      </c>
      <c r="L34" s="37">
        <f>IF(INT(J34)=J34,0,1)</f>
        <v>0</v>
      </c>
    </row>
    <row r="35" spans="1:12" ht="15" customHeight="1">
      <c r="A35" s="38"/>
      <c r="B35" s="121"/>
      <c r="C35" s="121"/>
      <c r="D35" s="121"/>
      <c r="E35" s="121"/>
      <c r="F35" s="121"/>
      <c r="G35" s="121"/>
      <c r="H35" s="38"/>
      <c r="J35" s="52">
        <f>D30/5</f>
        <v>0</v>
      </c>
      <c r="K35" s="37">
        <f>VLOOKUP(J11,'KT-Beiträge S'!A:I,J31,FALSE)</f>
        <v>1.41</v>
      </c>
      <c r="L35" s="37">
        <f>IF(INT(J35)=J35,0,1)</f>
        <v>0</v>
      </c>
    </row>
    <row r="36" spans="1:12" ht="15" customHeight="1">
      <c r="A36" s="38"/>
      <c r="B36" s="38"/>
      <c r="C36" s="38"/>
      <c r="D36" s="38"/>
      <c r="E36" s="38"/>
      <c r="F36" s="38"/>
      <c r="G36" s="38"/>
      <c r="H36" s="38"/>
      <c r="J36" s="52"/>
      <c r="K36" s="37"/>
      <c r="L36" s="37"/>
    </row>
    <row r="37" spans="1:12" ht="15" customHeight="1">
      <c r="A37" s="38"/>
      <c r="B37" s="38"/>
      <c r="C37" s="38"/>
      <c r="D37" s="38"/>
      <c r="E37" s="38"/>
      <c r="F37" s="38"/>
      <c r="G37" s="38"/>
      <c r="H37" s="38"/>
      <c r="J37" s="52"/>
      <c r="K37" s="37"/>
      <c r="L37" s="37"/>
    </row>
    <row r="38" spans="1:12" ht="15" customHeight="1">
      <c r="A38" s="38"/>
      <c r="B38" s="38"/>
      <c r="C38" s="38"/>
      <c r="D38" s="38"/>
      <c r="E38" s="38"/>
      <c r="F38" s="38"/>
      <c r="G38" s="38"/>
      <c r="H38" s="38"/>
      <c r="J38" s="52"/>
      <c r="K38" s="37"/>
      <c r="L38" s="37"/>
    </row>
    <row r="39" spans="1:12" ht="15" customHeight="1">
      <c r="A39" s="38"/>
      <c r="B39" s="38" t="s">
        <v>101</v>
      </c>
      <c r="C39" s="38"/>
      <c r="D39" s="38"/>
      <c r="E39" s="38"/>
      <c r="F39" s="38"/>
      <c r="G39" s="38"/>
      <c r="H39" s="38"/>
      <c r="J39" s="52"/>
      <c r="K39" s="37"/>
      <c r="L39" s="37"/>
    </row>
    <row r="40" spans="1:12" ht="15" customHeight="1">
      <c r="A40" s="38"/>
      <c r="B40" s="38"/>
      <c r="C40" s="38"/>
      <c r="D40" s="38"/>
      <c r="E40" s="38"/>
      <c r="F40" s="38"/>
      <c r="G40" s="38"/>
      <c r="H40" s="38"/>
      <c r="J40" s="37"/>
      <c r="K40" s="37"/>
      <c r="L40" s="37">
        <f>L33+L34+L35</f>
        <v>0</v>
      </c>
    </row>
  </sheetData>
  <sheetProtection algorithmName="SHA-512" hashValue="N772tLLkAVKjbCLU00DXaLWdcBuM9y42RiLUrSgCfqYz+OIvOm3P3l8gVtaopZb5WVMV+nVa5WOHB0Yq24Mb9A==" saltValue="6SAIuBp1x42AotR9JVMTYw==" spinCount="100000" sheet="1" objects="1" scenarios="1"/>
  <mergeCells count="10">
    <mergeCell ref="B26:C26"/>
    <mergeCell ref="B31:F31"/>
    <mergeCell ref="B34:G35"/>
    <mergeCell ref="B15:F15"/>
    <mergeCell ref="B17:F17"/>
    <mergeCell ref="B19:G20"/>
    <mergeCell ref="C21:C22"/>
    <mergeCell ref="E21:G22"/>
    <mergeCell ref="B24:C24"/>
    <mergeCell ref="E24:H25"/>
  </mergeCells>
  <dataValidations count="6">
    <dataValidation type="whole" allowBlank="1" showInputMessage="1" showErrorMessage="1" sqref="D29">
      <formula1>0</formula1>
      <formula2>100</formula2>
    </dataValidation>
    <dataValidation type="whole" allowBlank="1" showInputMessage="1" showErrorMessage="1" sqref="D30">
      <formula1>0</formula1>
      <formula2>200</formula2>
    </dataValidation>
    <dataValidation type="whole" allowBlank="1" showInputMessage="1" showErrorMessage="1" sqref="D28">
      <formula1>0</formula1>
      <formula2>50</formula2>
    </dataValidation>
    <dataValidation type="list" allowBlank="1" showInputMessage="1" showErrorMessage="1" sqref="B30">
      <formula1>Steuerung!$B$27:$B$32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2" r:id="rId6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tabColor theme="0" tint="-0.1499900072813034"/>
    <pageSetUpPr fitToPage="1"/>
  </sheetPr>
  <dimension ref="A1:S34"/>
  <sheetViews>
    <sheetView workbookViewId="0" topLeftCell="A1">
      <selection activeCell="D24" sqref="D24"/>
    </sheetView>
  </sheetViews>
  <sheetFormatPr defaultColWidth="0" defaultRowHeight="12.75" zeroHeight="1"/>
  <cols>
    <col min="1" max="1" width="15.00390625" style="36" customWidth="1"/>
    <col min="2" max="2" width="8.140625" style="36" customWidth="1"/>
    <col min="3" max="3" width="6.00390625" style="36" customWidth="1"/>
    <col min="4" max="4" width="12.140625" style="36" customWidth="1"/>
    <col min="5" max="5" width="5.140625" style="36" customWidth="1"/>
    <col min="6" max="6" width="13.7109375" style="36" customWidth="1"/>
    <col min="7" max="7" width="16.28125" style="36" customWidth="1"/>
    <col min="8" max="8" width="12.140625" style="36" customWidth="1"/>
    <col min="9" max="11" width="11.421875" style="36" hidden="1" customWidth="1"/>
    <col min="12" max="12" width="19.7109375" style="36" hidden="1" customWidth="1"/>
    <col min="13" max="14" width="11.421875" style="36" hidden="1" customWidth="1"/>
    <col min="15" max="15" width="11.421875" style="72" hidden="1" customWidth="1"/>
    <col min="16" max="16384" width="11.421875" style="36" hidden="1" customWidth="1"/>
  </cols>
  <sheetData>
    <row r="1" spans="1:15" ht="12.75">
      <c r="A1" s="35"/>
      <c r="B1" s="35"/>
      <c r="C1" s="35"/>
      <c r="D1" s="35"/>
      <c r="E1" s="35"/>
      <c r="F1" s="35"/>
      <c r="G1" s="35"/>
      <c r="H1" s="35"/>
      <c r="J1" s="37"/>
      <c r="K1" s="37"/>
      <c r="O1" s="36"/>
    </row>
    <row r="2" spans="1:15" ht="12.75">
      <c r="A2" s="35"/>
      <c r="B2" s="35"/>
      <c r="C2" s="35"/>
      <c r="D2" s="35"/>
      <c r="E2" s="35"/>
      <c r="F2" s="35"/>
      <c r="G2" s="35"/>
      <c r="H2" s="35"/>
      <c r="J2" s="37"/>
      <c r="K2" s="37"/>
      <c r="O2" s="36"/>
    </row>
    <row r="3" spans="1:15" ht="20.25">
      <c r="A3" s="35"/>
      <c r="B3" s="90" t="s">
        <v>102</v>
      </c>
      <c r="C3" s="35"/>
      <c r="D3" s="35"/>
      <c r="E3" s="35"/>
      <c r="F3" s="35"/>
      <c r="G3" s="35"/>
      <c r="H3" s="35"/>
      <c r="J3" s="37"/>
      <c r="K3" s="37"/>
      <c r="O3" s="36"/>
    </row>
    <row r="4" spans="1:15" ht="15.75">
      <c r="A4" s="35"/>
      <c r="B4" s="91" t="s">
        <v>63</v>
      </c>
      <c r="C4" s="35"/>
      <c r="D4" s="35"/>
      <c r="E4" s="35"/>
      <c r="F4" s="35"/>
      <c r="G4" s="35"/>
      <c r="H4" s="35"/>
      <c r="J4" s="37"/>
      <c r="K4" s="37"/>
      <c r="O4" s="36"/>
    </row>
    <row r="5" spans="1:15" ht="12.75">
      <c r="A5" s="35"/>
      <c r="B5" s="35"/>
      <c r="C5" s="35"/>
      <c r="D5" s="35"/>
      <c r="E5" s="35"/>
      <c r="F5" s="35"/>
      <c r="G5" s="35"/>
      <c r="H5" s="35"/>
      <c r="J5" s="37"/>
      <c r="K5" s="37"/>
      <c r="O5" s="36"/>
    </row>
    <row r="6" spans="1:15" ht="12.75">
      <c r="A6" s="35"/>
      <c r="B6" s="35"/>
      <c r="C6" s="35"/>
      <c r="D6" s="35"/>
      <c r="E6" s="35"/>
      <c r="F6" s="35"/>
      <c r="G6" s="35"/>
      <c r="H6" s="35"/>
      <c r="J6" s="37"/>
      <c r="K6" s="37"/>
      <c r="O6" s="36"/>
    </row>
    <row r="7" spans="1:15" ht="12.75">
      <c r="A7" s="35"/>
      <c r="B7" s="35"/>
      <c r="C7" s="35"/>
      <c r="D7" s="35"/>
      <c r="E7" s="35"/>
      <c r="F7" s="35"/>
      <c r="G7" s="35"/>
      <c r="H7" s="35"/>
      <c r="J7" s="37"/>
      <c r="K7" s="37"/>
      <c r="O7" s="36"/>
    </row>
    <row r="8" spans="1:15" ht="12.75">
      <c r="A8" s="35"/>
      <c r="B8" s="35"/>
      <c r="C8" s="35"/>
      <c r="D8" s="35"/>
      <c r="E8" s="35"/>
      <c r="F8" s="35"/>
      <c r="G8" s="35"/>
      <c r="H8" s="35"/>
      <c r="J8" s="37"/>
      <c r="K8" s="37"/>
      <c r="O8" s="36"/>
    </row>
    <row r="9" spans="1:15" ht="15" customHeight="1">
      <c r="A9" s="56"/>
      <c r="B9" s="56"/>
      <c r="C9" s="56"/>
      <c r="D9" s="56"/>
      <c r="E9" s="56"/>
      <c r="F9" s="56"/>
      <c r="G9" s="56"/>
      <c r="H9" s="56"/>
      <c r="J9" s="37"/>
      <c r="K9" s="37"/>
      <c r="O9" s="36"/>
    </row>
    <row r="10" spans="1:15" ht="15" customHeight="1">
      <c r="A10" s="56"/>
      <c r="B10" s="56"/>
      <c r="C10" s="56"/>
      <c r="D10" s="56"/>
      <c r="E10" s="56"/>
      <c r="F10" s="56"/>
      <c r="G10" s="56"/>
      <c r="H10" s="56"/>
      <c r="J10" s="37"/>
      <c r="K10" s="37"/>
      <c r="O10" s="36"/>
    </row>
    <row r="11" spans="1:15" ht="15" customHeight="1">
      <c r="A11" s="56"/>
      <c r="B11" s="39" t="s">
        <v>35</v>
      </c>
      <c r="C11" s="56"/>
      <c r="D11" s="56"/>
      <c r="E11" s="56"/>
      <c r="F11" s="56"/>
      <c r="G11" s="40">
        <v>1964</v>
      </c>
      <c r="H11" s="56"/>
      <c r="J11" s="41">
        <f>YEAR(G13)-G11</f>
        <v>56</v>
      </c>
      <c r="K11" s="37"/>
      <c r="O11" s="36"/>
    </row>
    <row r="12" spans="1:15" ht="15" customHeight="1">
      <c r="A12" s="56"/>
      <c r="B12" s="56"/>
      <c r="C12" s="56"/>
      <c r="D12" s="56"/>
      <c r="E12" s="56"/>
      <c r="F12" s="56"/>
      <c r="G12" s="56"/>
      <c r="H12" s="56"/>
      <c r="J12" s="37"/>
      <c r="K12" s="37"/>
      <c r="O12" s="36"/>
    </row>
    <row r="13" spans="1:15" ht="15" customHeight="1">
      <c r="A13" s="56"/>
      <c r="B13" s="39" t="s">
        <v>36</v>
      </c>
      <c r="C13" s="56"/>
      <c r="D13" s="56"/>
      <c r="E13" s="56"/>
      <c r="F13" s="56"/>
      <c r="G13" s="42">
        <v>43831</v>
      </c>
      <c r="H13" s="56"/>
      <c r="J13" s="37"/>
      <c r="K13" s="37"/>
      <c r="O13" s="36"/>
    </row>
    <row r="14" spans="1:15" ht="15" customHeight="1">
      <c r="A14" s="56"/>
      <c r="B14" s="56"/>
      <c r="C14" s="56"/>
      <c r="D14" s="56"/>
      <c r="E14" s="56"/>
      <c r="F14" s="56"/>
      <c r="G14" s="56"/>
      <c r="H14" s="56"/>
      <c r="J14" s="37"/>
      <c r="K14" s="37"/>
      <c r="M14" s="63"/>
      <c r="O14" s="36"/>
    </row>
    <row r="15" spans="1:15" ht="15" customHeight="1">
      <c r="A15" s="56"/>
      <c r="B15" s="112" t="s">
        <v>108</v>
      </c>
      <c r="C15" s="105"/>
      <c r="D15" s="105"/>
      <c r="E15" s="105"/>
      <c r="F15" s="119"/>
      <c r="G15" s="43">
        <v>60000</v>
      </c>
      <c r="H15" s="56"/>
      <c r="J15" s="37"/>
      <c r="K15" s="37"/>
      <c r="O15" s="36"/>
    </row>
    <row r="16" spans="1:15" ht="15" customHeight="1">
      <c r="A16" s="56"/>
      <c r="B16" s="64"/>
      <c r="C16" s="50"/>
      <c r="D16" s="50"/>
      <c r="E16" s="50"/>
      <c r="F16" s="50"/>
      <c r="G16" s="50"/>
      <c r="H16" s="56"/>
      <c r="J16" s="37"/>
      <c r="K16" s="37"/>
      <c r="O16" s="36"/>
    </row>
    <row r="17" spans="1:19" ht="15" customHeight="1">
      <c r="A17" s="56"/>
      <c r="B17" s="112" t="s">
        <v>60</v>
      </c>
      <c r="C17" s="105"/>
      <c r="D17" s="46">
        <f>(ROUNDUP((0.8*(G15/365))*2,-1)/2)</f>
        <v>135</v>
      </c>
      <c r="E17" s="124" t="str">
        <f>IF(D17&gt;400,"ACHTUNG: versicherbar
sind nur 400 €!","")</f>
        <v/>
      </c>
      <c r="F17" s="125"/>
      <c r="G17" s="125"/>
      <c r="H17" s="105"/>
      <c r="J17" s="37"/>
      <c r="K17" s="37"/>
      <c r="N17" s="65"/>
      <c r="O17" s="65"/>
      <c r="P17" s="65"/>
      <c r="Q17" s="65"/>
      <c r="R17" s="65"/>
      <c r="S17" s="65"/>
    </row>
    <row r="18" spans="1:19" ht="15" customHeight="1">
      <c r="A18" s="56"/>
      <c r="B18" s="56"/>
      <c r="C18" s="56"/>
      <c r="D18" s="56"/>
      <c r="E18" s="114"/>
      <c r="F18" s="114"/>
      <c r="G18" s="114"/>
      <c r="H18" s="105"/>
      <c r="J18" s="37"/>
      <c r="K18" s="37"/>
      <c r="N18" s="65"/>
      <c r="O18" s="65"/>
      <c r="P18" s="65"/>
      <c r="Q18" s="65"/>
      <c r="R18" s="65"/>
      <c r="S18" s="65"/>
    </row>
    <row r="19" spans="1:19" ht="15" customHeight="1">
      <c r="A19" s="56"/>
      <c r="B19" s="56"/>
      <c r="C19" s="56"/>
      <c r="D19" s="56"/>
      <c r="E19" s="56"/>
      <c r="F19" s="56"/>
      <c r="G19" s="56"/>
      <c r="H19" s="56"/>
      <c r="J19" s="37"/>
      <c r="K19" s="37"/>
      <c r="N19" s="65"/>
      <c r="O19" s="65"/>
      <c r="P19" s="65"/>
      <c r="Q19" s="65"/>
      <c r="R19" s="65"/>
      <c r="S19" s="65"/>
    </row>
    <row r="20" spans="1:19" ht="15" customHeight="1">
      <c r="A20" s="56"/>
      <c r="B20" s="112" t="s">
        <v>37</v>
      </c>
      <c r="C20" s="105"/>
      <c r="D20" s="49" t="s">
        <v>39</v>
      </c>
      <c r="E20" s="56"/>
      <c r="F20" s="66" t="s">
        <v>38</v>
      </c>
      <c r="G20" s="56"/>
      <c r="H20" s="56"/>
      <c r="J20" s="41">
        <f>VLOOKUP(B24,Steuerung!F27:G32,2,FALSE)+2</f>
        <v>4</v>
      </c>
      <c r="K20" s="37"/>
      <c r="N20" s="65"/>
      <c r="O20" s="65"/>
      <c r="P20" s="65"/>
      <c r="Q20" s="65"/>
      <c r="R20" s="65"/>
      <c r="S20" s="65"/>
    </row>
    <row r="21" spans="1:19" ht="15" customHeight="1">
      <c r="A21" s="56"/>
      <c r="B21" s="64"/>
      <c r="C21" s="50"/>
      <c r="D21" s="67" t="s">
        <v>62</v>
      </c>
      <c r="E21" s="56"/>
      <c r="F21" s="58"/>
      <c r="G21" s="56"/>
      <c r="H21" s="56"/>
      <c r="J21" s="37"/>
      <c r="K21" s="37"/>
      <c r="N21" s="65"/>
      <c r="O21" s="65"/>
      <c r="P21" s="65"/>
      <c r="Q21" s="65"/>
      <c r="R21" s="65"/>
      <c r="S21" s="65"/>
    </row>
    <row r="22" spans="1:19" ht="15" customHeight="1">
      <c r="A22" s="56"/>
      <c r="B22" s="39" t="s">
        <v>52</v>
      </c>
      <c r="C22" s="56"/>
      <c r="D22" s="43">
        <v>50</v>
      </c>
      <c r="E22" s="56"/>
      <c r="F22" s="68">
        <f>J22*K22</f>
        <v>39.7</v>
      </c>
      <c r="G22" s="56"/>
      <c r="H22" s="56"/>
      <c r="J22" s="41">
        <f>D22/5</f>
        <v>10</v>
      </c>
      <c r="K22" s="59">
        <f>VLOOKUP(J11,'KT-Beiträge F'!A:B,2,FALSE)</f>
        <v>3.97</v>
      </c>
      <c r="L22" s="37">
        <f>IF(INT(J22)=J22,0,1)</f>
        <v>0</v>
      </c>
      <c r="N22" s="65"/>
      <c r="O22" s="65"/>
      <c r="P22" s="65"/>
      <c r="Q22" s="65"/>
      <c r="R22" s="65"/>
      <c r="S22" s="65"/>
    </row>
    <row r="23" spans="1:19" ht="15" customHeight="1">
      <c r="A23" s="56"/>
      <c r="B23" s="39" t="s">
        <v>55</v>
      </c>
      <c r="C23" s="56"/>
      <c r="D23" s="43">
        <v>50</v>
      </c>
      <c r="E23" s="56"/>
      <c r="F23" s="68">
        <f>J23*K23</f>
        <v>47.800000000000004</v>
      </c>
      <c r="G23" s="56"/>
      <c r="H23" s="56"/>
      <c r="J23" s="41">
        <f>D23/5</f>
        <v>10</v>
      </c>
      <c r="K23" s="59">
        <f>VLOOKUP(J11,'KT-Beiträge F'!A:C,3,FALSE)</f>
        <v>4.78</v>
      </c>
      <c r="L23" s="37">
        <f>IF(INT(J23)=J23,0,1)</f>
        <v>0</v>
      </c>
      <c r="N23" s="65"/>
      <c r="O23" s="65"/>
      <c r="P23" s="65"/>
      <c r="Q23" s="65"/>
      <c r="R23" s="65"/>
      <c r="S23" s="65"/>
    </row>
    <row r="24" spans="1:19" ht="15" customHeight="1">
      <c r="A24" s="56"/>
      <c r="B24" s="69" t="s">
        <v>53</v>
      </c>
      <c r="C24" s="56"/>
      <c r="D24" s="43">
        <v>35</v>
      </c>
      <c r="E24" s="56"/>
      <c r="F24" s="68">
        <f>J24*K24</f>
        <v>22.68</v>
      </c>
      <c r="G24" s="56"/>
      <c r="H24" s="56"/>
      <c r="J24" s="41">
        <f>D24/5</f>
        <v>7</v>
      </c>
      <c r="K24" s="59">
        <f>VLOOKUP(J11,'KT-Beiträge F'!A:I,J20,FALSE)</f>
        <v>3.24</v>
      </c>
      <c r="L24" s="37">
        <f>IF(INT(J24)=J24,0,1)</f>
        <v>0</v>
      </c>
      <c r="N24" s="65"/>
      <c r="O24" s="65"/>
      <c r="P24" s="65"/>
      <c r="Q24" s="70"/>
      <c r="R24" s="65"/>
      <c r="S24" s="70"/>
    </row>
    <row r="25" spans="1:19" ht="15" customHeight="1">
      <c r="A25" s="56"/>
      <c r="B25" s="122" t="str">
        <f>IF(L25&gt;0,"KT-Höhe bitte in 5 €-Schritten wählen!","")</f>
        <v/>
      </c>
      <c r="C25" s="123"/>
      <c r="D25" s="123"/>
      <c r="E25" s="123"/>
      <c r="F25" s="123"/>
      <c r="G25" s="56"/>
      <c r="H25" s="56"/>
      <c r="J25" s="37"/>
      <c r="K25" s="37"/>
      <c r="L25" s="37">
        <f>L22+L23+L24</f>
        <v>0</v>
      </c>
      <c r="N25" s="65"/>
      <c r="O25" s="65"/>
      <c r="P25" s="65"/>
      <c r="Q25" s="65"/>
      <c r="R25" s="65"/>
      <c r="S25" s="65"/>
    </row>
    <row r="26" spans="1:19" ht="15" customHeight="1">
      <c r="A26" s="56"/>
      <c r="B26" s="39" t="s">
        <v>61</v>
      </c>
      <c r="C26" s="56"/>
      <c r="D26" s="46">
        <f>D22+D23+D24</f>
        <v>135</v>
      </c>
      <c r="E26" s="56"/>
      <c r="F26" s="71">
        <f>F22+F23+F24</f>
        <v>110.18</v>
      </c>
      <c r="G26" s="56"/>
      <c r="H26" s="56"/>
      <c r="J26" s="37"/>
      <c r="K26" s="37"/>
      <c r="N26" s="65"/>
      <c r="O26" s="65"/>
      <c r="P26" s="65"/>
      <c r="Q26" s="65"/>
      <c r="R26" s="65"/>
      <c r="S26" s="65"/>
    </row>
    <row r="27" spans="1:19" ht="15" customHeight="1">
      <c r="A27" s="56"/>
      <c r="B27" s="56"/>
      <c r="C27" s="56"/>
      <c r="D27" s="56"/>
      <c r="E27" s="56"/>
      <c r="F27" s="56"/>
      <c r="G27" s="56"/>
      <c r="H27" s="56"/>
      <c r="J27" s="37"/>
      <c r="K27" s="37"/>
      <c r="N27" s="65"/>
      <c r="O27" s="65"/>
      <c r="P27" s="65"/>
      <c r="Q27" s="65"/>
      <c r="R27" s="65"/>
      <c r="S27" s="65"/>
    </row>
    <row r="28" spans="1:19" ht="15" customHeight="1">
      <c r="A28" s="38"/>
      <c r="B28" s="120" t="str">
        <f>IF(D26&gt;400,"Versicherbares Höchsttagegeld überschritten, 
bitte auf insgesamt 400 € reduzieren.",IF(D26&gt;D17,(CONCATENATE("Versicherbares Tagegeld (Nettoeinkommen) überschritten, bitte auf insgesamt ",D17," € reduzieren.")),IF(D17&gt;D26,(CONCATENATE("ACHTUNG Absicherungslücke in Höhe von ",D17-D26," €!")),"")))</f>
        <v/>
      </c>
      <c r="C28" s="121"/>
      <c r="D28" s="121"/>
      <c r="E28" s="121"/>
      <c r="F28" s="121"/>
      <c r="G28" s="121"/>
      <c r="H28" s="38"/>
      <c r="J28" s="37"/>
      <c r="K28" s="37"/>
      <c r="N28" s="65"/>
      <c r="O28" s="65"/>
      <c r="P28" s="65"/>
      <c r="Q28" s="65"/>
      <c r="R28" s="65"/>
      <c r="S28" s="65"/>
    </row>
    <row r="29" spans="1:11" ht="15" customHeight="1">
      <c r="A29" s="38"/>
      <c r="B29" s="121"/>
      <c r="C29" s="121"/>
      <c r="D29" s="121"/>
      <c r="E29" s="121"/>
      <c r="F29" s="121"/>
      <c r="G29" s="121"/>
      <c r="H29" s="38"/>
      <c r="J29" s="37"/>
      <c r="K29" s="37"/>
    </row>
    <row r="30" spans="1:11" ht="15" customHeight="1">
      <c r="A30" s="38"/>
      <c r="B30" s="50"/>
      <c r="C30" s="50"/>
      <c r="D30" s="50"/>
      <c r="E30" s="50"/>
      <c r="F30" s="50"/>
      <c r="G30" s="50"/>
      <c r="H30" s="38"/>
      <c r="J30" s="37"/>
      <c r="K30" s="37"/>
    </row>
    <row r="31" spans="1:11" ht="15" customHeight="1">
      <c r="A31" s="38"/>
      <c r="B31" s="50"/>
      <c r="C31" s="50"/>
      <c r="D31" s="50"/>
      <c r="E31" s="50"/>
      <c r="F31" s="50"/>
      <c r="G31" s="50"/>
      <c r="H31" s="38"/>
      <c r="J31" s="37"/>
      <c r="K31" s="37"/>
    </row>
    <row r="32" spans="1:11" ht="15" customHeight="1">
      <c r="A32" s="38"/>
      <c r="B32" s="50"/>
      <c r="C32" s="50"/>
      <c r="D32" s="50"/>
      <c r="E32" s="50"/>
      <c r="F32" s="50"/>
      <c r="G32" s="50"/>
      <c r="H32" s="38"/>
      <c r="J32" s="37"/>
      <c r="K32" s="37"/>
    </row>
    <row r="33" spans="1:11" ht="15" customHeight="1">
      <c r="A33" s="38"/>
      <c r="B33" s="38" t="s">
        <v>101</v>
      </c>
      <c r="C33" s="50"/>
      <c r="D33" s="50"/>
      <c r="E33" s="50"/>
      <c r="F33" s="50"/>
      <c r="G33" s="50"/>
      <c r="H33" s="38"/>
      <c r="J33" s="37"/>
      <c r="K33" s="37"/>
    </row>
    <row r="34" spans="1:11" ht="15" customHeight="1">
      <c r="A34" s="38"/>
      <c r="B34" s="50"/>
      <c r="C34" s="50"/>
      <c r="D34" s="50"/>
      <c r="E34" s="50"/>
      <c r="F34" s="50"/>
      <c r="G34" s="50"/>
      <c r="H34" s="38"/>
      <c r="J34" s="37"/>
      <c r="K34" s="37"/>
    </row>
  </sheetData>
  <sheetProtection algorithmName="SHA-512" hashValue="fgWZIb/1MFxCzondXbrqeo/88/5qMgwSmiWSjdaJdOlx6nD54G7com9qQ+FUTfLRbJGWTd9JkLVmzjZKvNZ5rw==" saltValue="ow9QijeYXmflQayByUpE6w==" spinCount="100000" sheet="1" objects="1" scenarios="1"/>
  <mergeCells count="6">
    <mergeCell ref="B15:F15"/>
    <mergeCell ref="B28:G29"/>
    <mergeCell ref="B17:C17"/>
    <mergeCell ref="B20:C20"/>
    <mergeCell ref="B25:F25"/>
    <mergeCell ref="E17:H18"/>
  </mergeCells>
  <dataValidations count="6">
    <dataValidation type="whole" allowBlank="1" showInputMessage="1" showErrorMessage="1" sqref="D22">
      <formula1>0</formula1>
      <formula2>100</formula2>
    </dataValidation>
    <dataValidation type="whole" allowBlank="1" showInputMessage="1" showErrorMessage="1" sqref="D24">
      <formula1>0</formula1>
      <formula2>400</formula2>
    </dataValidation>
    <dataValidation type="whole" allowBlank="1" showInputMessage="1" showErrorMessage="1" sqref="D23">
      <formula1>0</formula1>
      <formula2>200</formula2>
    </dataValidation>
    <dataValidation type="list" allowBlank="1" showInputMessage="1" showErrorMessage="1" sqref="B24">
      <formula1>Steuerung!$F$27:$F$32</formula1>
    </dataValidation>
    <dataValidation type="list" allowBlank="1" showInputMessage="1" showErrorMessage="1" sqref="G13">
      <formula1>Steuerung!$A$35:$A$46</formula1>
    </dataValidation>
    <dataValidation type="list" allowBlank="1" showInputMessage="1" showErrorMessage="1" sqref="G11">
      <formula1>Steuerung!$J$3:$J$52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HALLESCHE Krankenversicherung auf Gegenseitigkeit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xi06683</dc:creator>
  <cp:keywords/>
  <dc:description/>
  <cp:lastModifiedBy>Ebersohl, Milena</cp:lastModifiedBy>
  <cp:lastPrinted>2016-08-01T12:27:02Z</cp:lastPrinted>
  <dcterms:created xsi:type="dcterms:W3CDTF">2015-06-03T07:56:07Z</dcterms:created>
  <dcterms:modified xsi:type="dcterms:W3CDTF">2019-12-16T09:52:18Z</dcterms:modified>
  <cp:category/>
  <cp:version/>
  <cp:contentType/>
  <cp:contentStatus/>
</cp:coreProperties>
</file>